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ohnr\Desktop\Grand Jury\"/>
    </mc:Choice>
  </mc:AlternateContent>
  <xr:revisionPtr revIDLastSave="0" documentId="8_{9284D587-A464-4CC0-BD6E-89B0780F1226}" xr6:coauthVersionLast="47" xr6:coauthVersionMax="47" xr10:uidLastSave="{00000000-0000-0000-0000-000000000000}"/>
  <bookViews>
    <workbookView xWindow="-103" yWindow="-103" windowWidth="29692" windowHeight="11829" activeTab="1" xr2:uid="{00000000-000D-0000-FFFF-FFFF00000000}"/>
  </bookViews>
  <sheets>
    <sheet name="Cash Flow" sheetId="2" r:id="rId1"/>
    <sheet name="District Budget" sheetId="6" r:id="rId2"/>
    <sheet name="Balance Sheet" sheetId="3" state="hidden" r:id="rId3"/>
  </sheets>
  <definedNames>
    <definedName name="_xlnm.Print_Area" localSheetId="2">'Balance Sheet'!$A$1:$E$51</definedName>
    <definedName name="_xlnm.Print_Area" localSheetId="1">'District Budget'!$A$1:$L$34</definedName>
    <definedName name="_xlnm.Print_Titles" localSheetId="0">'Cash Flow'!$A:$B</definedName>
    <definedName name="_xlnm.Print_Titles" localSheetId="1">'District Budget'!$A:$B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6" l="1"/>
  <c r="F23" i="6" s="1"/>
  <c r="G23" i="6" s="1"/>
  <c r="H23" i="6" s="1"/>
  <c r="I23" i="6" s="1"/>
  <c r="J23" i="6" s="1"/>
  <c r="K23" i="6" s="1"/>
  <c r="L23" i="6" s="1"/>
  <c r="C22" i="6"/>
  <c r="D22" i="6" s="1"/>
  <c r="E22" i="6" s="1"/>
  <c r="F22" i="6" s="1"/>
  <c r="G22" i="6" s="1"/>
  <c r="H22" i="6" s="1"/>
  <c r="I22" i="6" s="1"/>
  <c r="J22" i="6" s="1"/>
  <c r="K22" i="6" s="1"/>
  <c r="L22" i="6" s="1"/>
  <c r="C30" i="6"/>
  <c r="C32" i="6" l="1"/>
  <c r="C16" i="6" s="1"/>
  <c r="D16" i="6" s="1"/>
  <c r="E16" i="6" s="1"/>
  <c r="F16" i="6" s="1"/>
  <c r="G16" i="6" s="1"/>
  <c r="H16" i="6" s="1"/>
  <c r="I16" i="6" s="1"/>
  <c r="J16" i="6" s="1"/>
  <c r="K16" i="6" s="1"/>
  <c r="L16" i="6" s="1"/>
  <c r="D18" i="6"/>
  <c r="L11" i="6"/>
  <c r="K11" i="6"/>
  <c r="J11" i="6"/>
  <c r="I11" i="6"/>
  <c r="H11" i="6"/>
  <c r="G11" i="6"/>
  <c r="F11" i="6"/>
  <c r="E11" i="6"/>
  <c r="D11" i="6"/>
  <c r="C11" i="6"/>
  <c r="C13" i="6" s="1"/>
  <c r="C25" i="6" l="1"/>
  <c r="C26" i="6" s="1"/>
  <c r="C27" i="6" s="1"/>
  <c r="D13" i="6" s="1"/>
  <c r="E18" i="6"/>
  <c r="D25" i="6"/>
  <c r="D26" i="6" s="1"/>
  <c r="L27" i="2"/>
  <c r="K27" i="2"/>
  <c r="J27" i="2"/>
  <c r="I27" i="2"/>
  <c r="H27" i="2"/>
  <c r="G27" i="2"/>
  <c r="F27" i="2"/>
  <c r="E27" i="2"/>
  <c r="D27" i="2"/>
  <c r="C27" i="2"/>
  <c r="D27" i="6" l="1"/>
  <c r="D28" i="6"/>
  <c r="C28" i="6"/>
  <c r="E13" i="6"/>
  <c r="F18" i="6"/>
  <c r="E25" i="6"/>
  <c r="E26" i="6" s="1"/>
  <c r="D11" i="2"/>
  <c r="E11" i="2" s="1"/>
  <c r="F11" i="2" s="1"/>
  <c r="F13" i="2" s="1"/>
  <c r="E28" i="6" l="1"/>
  <c r="E27" i="6"/>
  <c r="F13" i="6" s="1"/>
  <c r="F25" i="6"/>
  <c r="G18" i="6"/>
  <c r="G11" i="2"/>
  <c r="G13" i="2" s="1"/>
  <c r="D16" i="2"/>
  <c r="F28" i="6" l="1"/>
  <c r="F26" i="6"/>
  <c r="F27" i="6" s="1"/>
  <c r="G13" i="6" s="1"/>
  <c r="H18" i="6"/>
  <c r="G25" i="6"/>
  <c r="E16" i="2"/>
  <c r="D21" i="2"/>
  <c r="G28" i="6" l="1"/>
  <c r="G26" i="6"/>
  <c r="G27" i="6" s="1"/>
  <c r="H13" i="6" s="1"/>
  <c r="I18" i="6"/>
  <c r="H25" i="6"/>
  <c r="F16" i="2"/>
  <c r="E21" i="2"/>
  <c r="E49" i="3"/>
  <c r="H28" i="6" l="1"/>
  <c r="H26" i="6"/>
  <c r="H27" i="6" s="1"/>
  <c r="I13" i="6" s="1"/>
  <c r="I25" i="6"/>
  <c r="J18" i="6"/>
  <c r="G16" i="2"/>
  <c r="F21" i="2"/>
  <c r="D46" i="3"/>
  <c r="E50" i="3"/>
  <c r="E45" i="3"/>
  <c r="E42" i="3"/>
  <c r="E41" i="3"/>
  <c r="E40" i="3"/>
  <c r="C39" i="3"/>
  <c r="C44" i="3" s="1"/>
  <c r="C46" i="3" s="1"/>
  <c r="E38" i="3"/>
  <c r="E37" i="3"/>
  <c r="E36" i="3"/>
  <c r="E35" i="3"/>
  <c r="E34" i="3"/>
  <c r="E33" i="3"/>
  <c r="E32" i="3"/>
  <c r="E31" i="3"/>
  <c r="E30" i="3"/>
  <c r="E29" i="3"/>
  <c r="C24" i="3"/>
  <c r="C26" i="3" s="1"/>
  <c r="E23" i="3"/>
  <c r="E22" i="3"/>
  <c r="E21" i="3"/>
  <c r="E20" i="3"/>
  <c r="E19" i="3"/>
  <c r="E18" i="3"/>
  <c r="C16" i="3"/>
  <c r="E15" i="3"/>
  <c r="E14" i="3"/>
  <c r="E13" i="3"/>
  <c r="E10" i="3"/>
  <c r="E9" i="3"/>
  <c r="E8" i="3"/>
  <c r="C7" i="3"/>
  <c r="E7" i="3" s="1"/>
  <c r="E6" i="3"/>
  <c r="I28" i="6" l="1"/>
  <c r="I26" i="6"/>
  <c r="I27" i="6" s="1"/>
  <c r="J13" i="6" s="1"/>
  <c r="J25" i="6"/>
  <c r="K18" i="6"/>
  <c r="H16" i="2"/>
  <c r="G21" i="2"/>
  <c r="C11" i="3"/>
  <c r="C27" i="3" s="1"/>
  <c r="E24" i="3"/>
  <c r="E26" i="3" s="1"/>
  <c r="E39" i="3"/>
  <c r="E44" i="3" s="1"/>
  <c r="E46" i="3" s="1"/>
  <c r="I11" i="2"/>
  <c r="J28" i="6" l="1"/>
  <c r="J26" i="6"/>
  <c r="J27" i="6" s="1"/>
  <c r="K13" i="6" s="1"/>
  <c r="K25" i="6"/>
  <c r="L18" i="6"/>
  <c r="L25" i="6" s="1"/>
  <c r="L26" i="6" s="1"/>
  <c r="I16" i="2"/>
  <c r="H21" i="2"/>
  <c r="I13" i="2"/>
  <c r="J11" i="2"/>
  <c r="E5" i="3"/>
  <c r="E11" i="3" s="1"/>
  <c r="H13" i="2"/>
  <c r="E13" i="2"/>
  <c r="D13" i="2"/>
  <c r="C13" i="2"/>
  <c r="K28" i="6" l="1"/>
  <c r="K26" i="6"/>
  <c r="K27" i="6" s="1"/>
  <c r="L13" i="6" s="1"/>
  <c r="J16" i="2"/>
  <c r="I21" i="2"/>
  <c r="I23" i="2" s="1"/>
  <c r="I26" i="2" s="1"/>
  <c r="J13" i="2"/>
  <c r="K11" i="2"/>
  <c r="G23" i="2"/>
  <c r="G26" i="2" s="1"/>
  <c r="H23" i="2"/>
  <c r="H26" i="2" s="1"/>
  <c r="E23" i="2"/>
  <c r="E26" i="2" s="1"/>
  <c r="F23" i="2"/>
  <c r="F26" i="2" s="1"/>
  <c r="D23" i="2"/>
  <c r="D26" i="2" s="1"/>
  <c r="L27" i="6" l="1"/>
  <c r="L28" i="6"/>
  <c r="G29" i="2"/>
  <c r="D29" i="2"/>
  <c r="F29" i="2"/>
  <c r="E29" i="2"/>
  <c r="H29" i="2"/>
  <c r="I29" i="2"/>
  <c r="K16" i="2"/>
  <c r="J21" i="2"/>
  <c r="J23" i="2" s="1"/>
  <c r="J26" i="2" s="1"/>
  <c r="K13" i="2"/>
  <c r="L11" i="2"/>
  <c r="L13" i="2" s="1"/>
  <c r="E51" i="3"/>
  <c r="D12" i="3" s="1"/>
  <c r="J29" i="2" l="1"/>
  <c r="L16" i="2"/>
  <c r="L21" i="2" s="1"/>
  <c r="L23" i="2" s="1"/>
  <c r="L26" i="2" s="1"/>
  <c r="K21" i="2"/>
  <c r="K23" i="2" s="1"/>
  <c r="K26" i="2" s="1"/>
  <c r="E12" i="3"/>
  <c r="E16" i="3" s="1"/>
  <c r="E27" i="3" s="1"/>
  <c r="D27" i="3"/>
  <c r="C21" i="2"/>
  <c r="C23" i="2" s="1"/>
  <c r="C26" i="2" s="1"/>
  <c r="C29" i="2" l="1"/>
  <c r="C31" i="2"/>
  <c r="D31" i="2" s="1"/>
  <c r="E31" i="2" s="1"/>
  <c r="F31" i="2" s="1"/>
  <c r="G31" i="2" s="1"/>
  <c r="H31" i="2" s="1"/>
  <c r="I31" i="2" s="1"/>
  <c r="J31" i="2" s="1"/>
  <c r="K31" i="2" s="1"/>
  <c r="L31" i="2" s="1"/>
  <c r="K29" i="2"/>
  <c r="L29" i="2"/>
</calcChain>
</file>

<file path=xl/sharedStrings.xml><?xml version="1.0" encoding="utf-8"?>
<sst xmlns="http://schemas.openxmlformats.org/spreadsheetml/2006/main" count="132" uniqueCount="118">
  <si>
    <t>Mendocino Coast District Hospital</t>
  </si>
  <si>
    <t>Sources of Cash:</t>
  </si>
  <si>
    <t>Statement of Annual Projected Cash Flow</t>
  </si>
  <si>
    <t>Uses of Cash:</t>
  </si>
  <si>
    <t>Total Sources</t>
  </si>
  <si>
    <t>Total Uses</t>
  </si>
  <si>
    <r>
      <t xml:space="preserve">Revenue Bonds- Refinanced 2016 </t>
    </r>
    <r>
      <rPr>
        <b/>
        <sz val="11"/>
        <color theme="1"/>
        <rFont val="Calibri"/>
        <family val="2"/>
        <scheme val="minor"/>
      </rPr>
      <t>(2)</t>
    </r>
  </si>
  <si>
    <r>
      <t xml:space="preserve">Cal Mortgage Line of Credit </t>
    </r>
    <r>
      <rPr>
        <b/>
        <sz val="11"/>
        <color theme="1"/>
        <rFont val="Calibri"/>
        <family val="2"/>
        <scheme val="minor"/>
      </rPr>
      <t>(3)</t>
    </r>
  </si>
  <si>
    <r>
      <t>HELP II Loan</t>
    </r>
    <r>
      <rPr>
        <b/>
        <sz val="11"/>
        <color theme="1"/>
        <rFont val="Calibri"/>
        <family val="2"/>
        <scheme val="minor"/>
      </rPr>
      <t xml:space="preserve"> (4)</t>
    </r>
  </si>
  <si>
    <r>
      <t xml:space="preserve">UHC of California </t>
    </r>
    <r>
      <rPr>
        <b/>
        <sz val="11"/>
        <color theme="1"/>
        <rFont val="Calibri"/>
        <family val="2"/>
        <scheme val="minor"/>
      </rPr>
      <t>(5)</t>
    </r>
  </si>
  <si>
    <r>
      <rPr>
        <b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Pay Off - June 2029</t>
    </r>
  </si>
  <si>
    <r>
      <rPr>
        <b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Pay Off - March 2022</t>
    </r>
  </si>
  <si>
    <r>
      <rPr>
        <b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Pay Off - August 2028</t>
    </r>
  </si>
  <si>
    <r>
      <rPr>
        <b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Pay Off - April 2024</t>
    </r>
  </si>
  <si>
    <r>
      <t xml:space="preserve">Measure C- expires June 30, 2030 </t>
    </r>
    <r>
      <rPr>
        <b/>
        <sz val="11"/>
        <color theme="1"/>
        <rFont val="Calibri"/>
        <family val="2"/>
        <scheme val="minor"/>
      </rPr>
      <t>(1)</t>
    </r>
  </si>
  <si>
    <t>District Tax Receipts</t>
  </si>
  <si>
    <r>
      <rPr>
        <b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Sunset provision of 12 years and must be used for voter mandated purposes.  Expires year ending  June 30, 2030.  </t>
    </r>
  </si>
  <si>
    <t>FYE 06-30-21</t>
  </si>
  <si>
    <t>FYE 06-30-22</t>
  </si>
  <si>
    <t>FYE 06-30-23</t>
  </si>
  <si>
    <t>FYE 06-30-24</t>
  </si>
  <si>
    <t>FYE 06-30-25</t>
  </si>
  <si>
    <t>FYE 06-30-26</t>
  </si>
  <si>
    <t>September 30, 2019</t>
  </si>
  <si>
    <t>Changes</t>
  </si>
  <si>
    <t>Operating Cash</t>
  </si>
  <si>
    <t>Parcel Tax Revenue Account</t>
  </si>
  <si>
    <t>Net Patient Receivables (75% reserved)</t>
  </si>
  <si>
    <t>Estimate Third-Party Payer Settlement</t>
  </si>
  <si>
    <t>Pledges and Receivables</t>
  </si>
  <si>
    <t>Inventory</t>
  </si>
  <si>
    <t>Total Current Assets</t>
  </si>
  <si>
    <t>Board designated</t>
  </si>
  <si>
    <t>Plan Fund</t>
  </si>
  <si>
    <t>Bonds</t>
  </si>
  <si>
    <t>Bond Costs</t>
  </si>
  <si>
    <t>Total Long Term Assets</t>
  </si>
  <si>
    <t>Property Plant and Equipment:</t>
  </si>
  <si>
    <t>Land</t>
  </si>
  <si>
    <t>Land Improvements</t>
  </si>
  <si>
    <t>Buildings and Improvements</t>
  </si>
  <si>
    <t>Leasehold Improvements</t>
  </si>
  <si>
    <t>Equipment</t>
  </si>
  <si>
    <t>Construction-In-Progress</t>
  </si>
  <si>
    <t>Total Property, Plant &amp; Equipment</t>
  </si>
  <si>
    <t>Less Accumulated Depreciation</t>
  </si>
  <si>
    <t>Net Property, Plant &amp; Equipment</t>
  </si>
  <si>
    <t>TOTAL ASSETS</t>
  </si>
  <si>
    <t>Accounts Payable</t>
  </si>
  <si>
    <t>Accrued Payroll</t>
  </si>
  <si>
    <t>Accrued Vacation, Holiday &amp; Sick Pay</t>
  </si>
  <si>
    <t>Payroll Taxes</t>
  </si>
  <si>
    <t>Estimated Third-Party Payer Settlement</t>
  </si>
  <si>
    <t>Other Current Liabilities</t>
  </si>
  <si>
    <t>Interest Payable</t>
  </si>
  <si>
    <t>Previous FY Pension Payable</t>
  </si>
  <si>
    <t>Notes &amp; Loans Payable-Banks</t>
  </si>
  <si>
    <t>Other Notes &amp; Loans Payable</t>
  </si>
  <si>
    <t>Total Current Liabilities</t>
  </si>
  <si>
    <t>Bond Payable</t>
  </si>
  <si>
    <t>Pension Payable Current FY</t>
  </si>
  <si>
    <t>Other Non-Current Liabilities</t>
  </si>
  <si>
    <t>Total Long Term Liabilities</t>
  </si>
  <si>
    <t>Total Liabilities</t>
  </si>
  <si>
    <t>Fund Balance</t>
  </si>
  <si>
    <t>TOTAL LIABILITIES &amp; FUND BALANCE</t>
  </si>
  <si>
    <t>Cash:</t>
  </si>
  <si>
    <t>Additions</t>
  </si>
  <si>
    <t>Balance Sheet (Post Affiliation)</t>
  </si>
  <si>
    <t>Net Reductions</t>
  </si>
  <si>
    <t>Reductions</t>
  </si>
  <si>
    <t>Stand Alone</t>
  </si>
  <si>
    <t>FYE 06-30-27</t>
  </si>
  <si>
    <t>FYE 06-30-28</t>
  </si>
  <si>
    <t>FYE 06-30-29</t>
  </si>
  <si>
    <t>FYE 06-30-30</t>
  </si>
  <si>
    <t>CapEx/Deferred Maintenance Expenditures (+2% annual CPI)</t>
  </si>
  <si>
    <t xml:space="preserve">AH Lease Payment </t>
  </si>
  <si>
    <t>Page 1 of 2</t>
  </si>
  <si>
    <t>Page 2 of 2</t>
  </si>
  <si>
    <t>Less Distributions:</t>
  </si>
  <si>
    <t>Cash Available for Distribution</t>
  </si>
  <si>
    <t>District Operating Cash</t>
  </si>
  <si>
    <t>Restricted Capital Fund</t>
  </si>
  <si>
    <t xml:space="preserve">Total Distributions </t>
  </si>
  <si>
    <t xml:space="preserve">Restricted Capital Fund- Cumulative Cash </t>
  </si>
  <si>
    <t>Exhibit D- Restricted Capital Fund Funding Schedule</t>
  </si>
  <si>
    <t>LAIF Transfer</t>
  </si>
  <si>
    <t>Prepared:  June 25, 2020</t>
  </si>
  <si>
    <t xml:space="preserve">Mendocino Coast Health Care District </t>
  </si>
  <si>
    <t>Annual Projected Budgets for 10 Years</t>
  </si>
  <si>
    <t>FYE 06-30-2021 thru FYE 06-30-2030</t>
  </si>
  <si>
    <t xml:space="preserve">Distribution from Operations </t>
  </si>
  <si>
    <t>Purchased Services- Legal &amp; Finance</t>
  </si>
  <si>
    <t>Office Expenses- Supplies &amp; Equipment</t>
  </si>
  <si>
    <t>Purchased Services- Administrative</t>
  </si>
  <si>
    <t>Communication Expenses (phone/fax/internet/email)</t>
  </si>
  <si>
    <t>Restricted Fund</t>
  </si>
  <si>
    <t>Prepared:  July 22, 2020</t>
  </si>
  <si>
    <t>DRAFT- FOR DISCUSSION PURPOSES ONLY</t>
  </si>
  <si>
    <t>Staff Personnel</t>
  </si>
  <si>
    <t>Health Reimbursement Arrangement</t>
  </si>
  <si>
    <t>Admin estimated hours per month, average</t>
  </si>
  <si>
    <t>Admin hourly rate</t>
  </si>
  <si>
    <t>Annual cost</t>
  </si>
  <si>
    <t>escalation</t>
  </si>
  <si>
    <t>Contingency factor</t>
  </si>
  <si>
    <t>Utilities</t>
  </si>
  <si>
    <t>Utilities -- electricity, heating, water $ per month</t>
  </si>
  <si>
    <t>rest of  years is 10%</t>
  </si>
  <si>
    <t>Discretionary Funds low end</t>
  </si>
  <si>
    <t>Discretionary Funds high end</t>
  </si>
  <si>
    <t>Total Uses without Contingency</t>
  </si>
  <si>
    <t>Total Uses with Contingency</t>
  </si>
  <si>
    <t>Office Improvements</t>
  </si>
  <si>
    <t>Board insurance</t>
  </si>
  <si>
    <t>District budget for FY 21</t>
  </si>
  <si>
    <t>Board Budget 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</si>
</sst>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1" xfId="0" applyNumberFormat="1" applyBorder="1"/>
    <xf numFmtId="0" fontId="0" fillId="0" borderId="0" xfId="0" applyAlignment="1">
      <alignment horizontal="left" wrapText="1"/>
    </xf>
    <xf numFmtId="164" fontId="0" fillId="0" borderId="0" xfId="0" applyNumberFormat="1" applyBorder="1"/>
    <xf numFmtId="0" fontId="0" fillId="0" borderId="0" xfId="0" applyAlignment="1">
      <alignment horizontal="left"/>
    </xf>
    <xf numFmtId="164" fontId="0" fillId="0" borderId="3" xfId="0" applyNumberFormat="1" applyBorder="1"/>
    <xf numFmtId="9" fontId="0" fillId="0" borderId="0" xfId="1" applyFont="1"/>
    <xf numFmtId="0" fontId="1" fillId="0" borderId="0" xfId="0" applyFont="1"/>
    <xf numFmtId="165" fontId="0" fillId="0" borderId="0" xfId="2" applyNumberFormat="1" applyFont="1"/>
    <xf numFmtId="0" fontId="3" fillId="0" borderId="0" xfId="0" applyFont="1"/>
    <xf numFmtId="165" fontId="3" fillId="0" borderId="0" xfId="2" applyNumberFormat="1" applyFont="1"/>
    <xf numFmtId="14" fontId="3" fillId="0" borderId="4" xfId="2" applyNumberFormat="1" applyFont="1" applyBorder="1" applyAlignment="1">
      <alignment horizontal="center"/>
    </xf>
    <xf numFmtId="165" fontId="3" fillId="0" borderId="5" xfId="2" applyNumberFormat="1" applyFont="1" applyBorder="1" applyAlignment="1">
      <alignment horizontal="center"/>
    </xf>
    <xf numFmtId="14" fontId="3" fillId="0" borderId="6" xfId="2" applyNumberFormat="1" applyFont="1" applyBorder="1" applyAlignment="1">
      <alignment horizontal="center"/>
    </xf>
    <xf numFmtId="166" fontId="3" fillId="0" borderId="0" xfId="3" applyNumberFormat="1" applyFont="1"/>
    <xf numFmtId="165" fontId="3" fillId="0" borderId="3" xfId="2" applyNumberFormat="1" applyFont="1" applyBorder="1"/>
    <xf numFmtId="165" fontId="3" fillId="0" borderId="2" xfId="2" applyNumberFormat="1" applyFont="1" applyBorder="1"/>
    <xf numFmtId="0" fontId="4" fillId="0" borderId="0" xfId="0" applyFont="1"/>
    <xf numFmtId="166" fontId="3" fillId="0" borderId="1" xfId="3" applyNumberFormat="1" applyFont="1" applyBorder="1"/>
    <xf numFmtId="165" fontId="4" fillId="0" borderId="7" xfId="2" applyNumberFormat="1" applyFont="1" applyBorder="1"/>
    <xf numFmtId="165" fontId="3" fillId="0" borderId="8" xfId="2" applyNumberFormat="1" applyFont="1" applyBorder="1"/>
    <xf numFmtId="165" fontId="3" fillId="0" borderId="9" xfId="2" applyNumberFormat="1" applyFont="1" applyBorder="1"/>
    <xf numFmtId="165" fontId="3" fillId="0" borderId="10" xfId="2" applyNumberFormat="1" applyFont="1" applyBorder="1"/>
    <xf numFmtId="165" fontId="3" fillId="0" borderId="0" xfId="2" applyNumberFormat="1" applyFont="1" applyBorder="1"/>
    <xf numFmtId="165" fontId="3" fillId="0" borderId="11" xfId="2" applyNumberFormat="1" applyFont="1" applyBorder="1"/>
    <xf numFmtId="165" fontId="3" fillId="0" borderId="12" xfId="2" applyNumberFormat="1" applyFont="1" applyBorder="1"/>
    <xf numFmtId="165" fontId="3" fillId="0" borderId="13" xfId="2" applyNumberFormat="1" applyFont="1" applyBorder="1"/>
    <xf numFmtId="165" fontId="3" fillId="0" borderId="14" xfId="2" applyNumberFormat="1" applyFont="1" applyBorder="1"/>
    <xf numFmtId="165" fontId="3" fillId="0" borderId="1" xfId="2" applyNumberFormat="1" applyFont="1" applyBorder="1"/>
    <xf numFmtId="0" fontId="0" fillId="0" borderId="0" xfId="0" applyAlignment="1">
      <alignment wrapText="1"/>
    </xf>
    <xf numFmtId="164" fontId="0" fillId="0" borderId="0" xfId="0" applyNumberFormat="1" applyBorder="1" applyAlignment="1">
      <alignment horizontal="right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164" fontId="0" fillId="4" borderId="15" xfId="0" applyNumberFormat="1" applyFill="1" applyBorder="1"/>
    <xf numFmtId="0" fontId="0" fillId="4" borderId="0" xfId="0" applyFill="1"/>
    <xf numFmtId="0" fontId="0" fillId="0" borderId="0" xfId="0" applyFont="1"/>
    <xf numFmtId="0" fontId="0" fillId="0" borderId="0" xfId="0" applyFill="1"/>
    <xf numFmtId="44" fontId="0" fillId="0" borderId="0" xfId="3" applyFont="1"/>
    <xf numFmtId="44" fontId="0" fillId="0" borderId="0" xfId="0" applyNumberFormat="1"/>
    <xf numFmtId="167" fontId="0" fillId="0" borderId="0" xfId="1" applyNumberFormat="1" applyFont="1"/>
    <xf numFmtId="0" fontId="5" fillId="0" borderId="0" xfId="0" applyFont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opLeftCell="A21" zoomScaleNormal="100" workbookViewId="0">
      <selection activeCell="C4" sqref="C4"/>
    </sheetView>
  </sheetViews>
  <sheetFormatPr defaultRowHeight="14.6" x14ac:dyDescent="0.4"/>
  <cols>
    <col min="1" max="1" width="49.3828125" customWidth="1"/>
    <col min="2" max="2" width="2.69140625" customWidth="1"/>
    <col min="3" max="12" width="11.84375" bestFit="1" customWidth="1"/>
    <col min="13" max="13" width="10.15234375" bestFit="1" customWidth="1"/>
  </cols>
  <sheetData>
    <row r="1" spans="1:12" x14ac:dyDescent="0.4">
      <c r="A1" t="s">
        <v>0</v>
      </c>
    </row>
    <row r="2" spans="1:12" x14ac:dyDescent="0.4">
      <c r="A2" t="s">
        <v>2</v>
      </c>
    </row>
    <row r="3" spans="1:12" x14ac:dyDescent="0.4">
      <c r="A3" t="s">
        <v>86</v>
      </c>
    </row>
    <row r="4" spans="1:12" x14ac:dyDescent="0.4">
      <c r="A4" t="s">
        <v>88</v>
      </c>
      <c r="C4" s="45" t="s">
        <v>116</v>
      </c>
    </row>
    <row r="5" spans="1:12" x14ac:dyDescent="0.4">
      <c r="C5" s="39" t="s">
        <v>17</v>
      </c>
      <c r="D5" s="39" t="s">
        <v>18</v>
      </c>
      <c r="E5" s="39" t="s">
        <v>19</v>
      </c>
      <c r="F5" s="39" t="s">
        <v>20</v>
      </c>
      <c r="G5" s="39" t="s">
        <v>21</v>
      </c>
      <c r="H5" s="39" t="s">
        <v>22</v>
      </c>
      <c r="I5" s="39" t="s">
        <v>72</v>
      </c>
      <c r="J5" s="39" t="s">
        <v>73</v>
      </c>
      <c r="K5" s="39" t="s">
        <v>74</v>
      </c>
      <c r="L5" s="39" t="s">
        <v>75</v>
      </c>
    </row>
    <row r="7" spans="1:12" x14ac:dyDescent="0.4">
      <c r="A7" s="10" t="s">
        <v>1</v>
      </c>
      <c r="B7" s="10"/>
    </row>
    <row r="8" spans="1:12" hidden="1" x14ac:dyDescent="0.4">
      <c r="A8" s="9">
        <v>0.02</v>
      </c>
      <c r="B8" s="9"/>
    </row>
    <row r="9" spans="1:12" x14ac:dyDescent="0.4">
      <c r="A9" t="s">
        <v>14</v>
      </c>
      <c r="C9" s="2">
        <v>1550000</v>
      </c>
      <c r="D9" s="2">
        <v>1550000</v>
      </c>
      <c r="E9" s="2">
        <v>1550000</v>
      </c>
      <c r="F9" s="2">
        <v>1550000</v>
      </c>
      <c r="G9" s="2">
        <v>1550000</v>
      </c>
      <c r="H9" s="2">
        <v>1550000</v>
      </c>
      <c r="I9" s="2">
        <v>1550000</v>
      </c>
      <c r="J9" s="2">
        <v>1550000</v>
      </c>
      <c r="K9" s="2">
        <v>1550000</v>
      </c>
      <c r="L9" s="2">
        <v>1550000</v>
      </c>
    </row>
    <row r="10" spans="1:12" x14ac:dyDescent="0.4">
      <c r="A10" t="s">
        <v>15</v>
      </c>
      <c r="C10" s="2">
        <v>825000</v>
      </c>
      <c r="D10" s="2">
        <v>825000</v>
      </c>
      <c r="E10" s="2">
        <v>825000</v>
      </c>
      <c r="F10" s="2">
        <v>825000</v>
      </c>
      <c r="G10" s="2">
        <v>825000</v>
      </c>
      <c r="H10" s="2">
        <v>825000</v>
      </c>
      <c r="I10" s="2">
        <v>825000</v>
      </c>
      <c r="J10" s="2">
        <v>825000</v>
      </c>
      <c r="K10" s="2">
        <v>825000</v>
      </c>
      <c r="L10" s="2">
        <v>825000</v>
      </c>
    </row>
    <row r="11" spans="1:12" x14ac:dyDescent="0.4">
      <c r="A11" t="s">
        <v>77</v>
      </c>
      <c r="C11" s="2">
        <v>1750000</v>
      </c>
      <c r="D11" s="2">
        <f>C11</f>
        <v>1750000</v>
      </c>
      <c r="E11" s="2">
        <f>D11</f>
        <v>1750000</v>
      </c>
      <c r="F11" s="2">
        <f>E11</f>
        <v>1750000</v>
      </c>
      <c r="G11" s="2">
        <f>F11</f>
        <v>1750000</v>
      </c>
      <c r="H11" s="2">
        <v>2950000</v>
      </c>
      <c r="I11" s="2">
        <f t="shared" ref="I11:L11" si="0">+H11+(H11*$A$8)</f>
        <v>3009000</v>
      </c>
      <c r="J11" s="2">
        <f t="shared" si="0"/>
        <v>3069180</v>
      </c>
      <c r="K11" s="2">
        <f t="shared" si="0"/>
        <v>3130563.6</v>
      </c>
      <c r="L11" s="2">
        <f t="shared" si="0"/>
        <v>3193174.872</v>
      </c>
    </row>
    <row r="12" spans="1:12" x14ac:dyDescent="0.4">
      <c r="A12" t="s">
        <v>87</v>
      </c>
      <c r="C12" s="2"/>
      <c r="D12" s="2"/>
      <c r="E12" s="2"/>
      <c r="F12" s="2">
        <v>1200000</v>
      </c>
      <c r="G12" s="2">
        <v>1200000</v>
      </c>
      <c r="H12" s="2"/>
      <c r="I12" s="2"/>
      <c r="J12" s="2"/>
      <c r="K12" s="2"/>
      <c r="L12" s="2"/>
    </row>
    <row r="13" spans="1:12" x14ac:dyDescent="0.4">
      <c r="A13" s="3" t="s">
        <v>4</v>
      </c>
      <c r="B13" s="3"/>
      <c r="C13" s="8">
        <f>SUM(C9:C11)</f>
        <v>4125000</v>
      </c>
      <c r="D13" s="8">
        <f t="shared" ref="D13:L13" si="1">SUM(D9:D11)</f>
        <v>4125000</v>
      </c>
      <c r="E13" s="8">
        <f t="shared" si="1"/>
        <v>4125000</v>
      </c>
      <c r="F13" s="8">
        <f>SUM(F9:F12)</f>
        <v>5325000</v>
      </c>
      <c r="G13" s="8">
        <f>SUM(G9:G12)</f>
        <v>5325000</v>
      </c>
      <c r="H13" s="8">
        <f t="shared" si="1"/>
        <v>5325000</v>
      </c>
      <c r="I13" s="8">
        <f t="shared" si="1"/>
        <v>5384000</v>
      </c>
      <c r="J13" s="8">
        <f t="shared" si="1"/>
        <v>5444180</v>
      </c>
      <c r="K13" s="8">
        <f t="shared" si="1"/>
        <v>5505563.5999999996</v>
      </c>
      <c r="L13" s="8">
        <f t="shared" si="1"/>
        <v>5568174.8719999995</v>
      </c>
    </row>
    <row r="15" spans="1:12" x14ac:dyDescent="0.4">
      <c r="A15" s="10" t="s">
        <v>3</v>
      </c>
      <c r="B15" s="10"/>
    </row>
    <row r="16" spans="1:12" ht="29.15" x14ac:dyDescent="0.4">
      <c r="A16" s="32" t="s">
        <v>76</v>
      </c>
      <c r="B16" s="32"/>
      <c r="C16" s="2">
        <v>2000000</v>
      </c>
      <c r="D16" s="2">
        <f>+C16+(C16*$A$8)</f>
        <v>2040000</v>
      </c>
      <c r="E16" s="2">
        <f t="shared" ref="E16:L16" si="2">+D16+(D16*$A$8)</f>
        <v>2080800</v>
      </c>
      <c r="F16" s="2">
        <f t="shared" si="2"/>
        <v>2122416</v>
      </c>
      <c r="G16" s="2">
        <f t="shared" si="2"/>
        <v>2164864.3199999998</v>
      </c>
      <c r="H16" s="2">
        <f t="shared" si="2"/>
        <v>2208161.6063999999</v>
      </c>
      <c r="I16" s="2">
        <f t="shared" si="2"/>
        <v>2252324.8385279998</v>
      </c>
      <c r="J16" s="2">
        <f t="shared" si="2"/>
        <v>2297371.3352985596</v>
      </c>
      <c r="K16" s="2">
        <f t="shared" si="2"/>
        <v>2343318.762004531</v>
      </c>
      <c r="L16" s="2">
        <f t="shared" si="2"/>
        <v>2390185.1372446218</v>
      </c>
    </row>
    <row r="17" spans="1:13" x14ac:dyDescent="0.4">
      <c r="A17" t="s">
        <v>6</v>
      </c>
      <c r="C17" s="2">
        <v>567500</v>
      </c>
      <c r="D17" s="2">
        <v>565500</v>
      </c>
      <c r="E17" s="2">
        <v>563200</v>
      </c>
      <c r="F17" s="2">
        <v>565600</v>
      </c>
      <c r="G17" s="2">
        <v>562550</v>
      </c>
      <c r="H17" s="2">
        <v>564750</v>
      </c>
      <c r="I17" s="2">
        <v>561500</v>
      </c>
      <c r="J17" s="2">
        <v>562250</v>
      </c>
      <c r="K17" s="2">
        <v>561750</v>
      </c>
      <c r="L17" s="2">
        <v>0</v>
      </c>
      <c r="M17" s="1"/>
    </row>
    <row r="18" spans="1:13" x14ac:dyDescent="0.4">
      <c r="A18" t="s">
        <v>7</v>
      </c>
      <c r="C18" s="2">
        <v>214653</v>
      </c>
      <c r="D18" s="2">
        <v>157570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1"/>
    </row>
    <row r="19" spans="1:13" x14ac:dyDescent="0.4">
      <c r="A19" t="s">
        <v>8</v>
      </c>
      <c r="C19" s="2">
        <v>165624</v>
      </c>
      <c r="D19" s="2">
        <v>165624</v>
      </c>
      <c r="E19" s="2">
        <v>165624</v>
      </c>
      <c r="F19" s="2">
        <v>165624</v>
      </c>
      <c r="G19" s="2">
        <v>165624</v>
      </c>
      <c r="H19" s="2">
        <v>165624</v>
      </c>
      <c r="I19" s="2">
        <v>165624</v>
      </c>
      <c r="J19" s="2">
        <v>165624</v>
      </c>
      <c r="K19" s="2">
        <v>12250</v>
      </c>
      <c r="L19" s="2">
        <v>0</v>
      </c>
      <c r="M19" s="1"/>
    </row>
    <row r="20" spans="1:13" x14ac:dyDescent="0.4">
      <c r="A20" t="s">
        <v>9</v>
      </c>
      <c r="C20" s="33">
        <v>237300</v>
      </c>
      <c r="D20" s="33">
        <v>230475</v>
      </c>
      <c r="E20" s="33">
        <v>223650</v>
      </c>
      <c r="F20" s="33">
        <v>216825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1"/>
    </row>
    <row r="21" spans="1:13" x14ac:dyDescent="0.4">
      <c r="A21" s="3" t="s">
        <v>5</v>
      </c>
      <c r="B21" s="3"/>
      <c r="C21" s="8">
        <f t="shared" ref="C21:L21" si="3">SUM(C16:C20)</f>
        <v>3185077</v>
      </c>
      <c r="D21" s="8">
        <f t="shared" si="3"/>
        <v>3159169</v>
      </c>
      <c r="E21" s="8">
        <f t="shared" si="3"/>
        <v>3033274</v>
      </c>
      <c r="F21" s="8">
        <f t="shared" si="3"/>
        <v>3070465</v>
      </c>
      <c r="G21" s="8">
        <f t="shared" si="3"/>
        <v>2893038.32</v>
      </c>
      <c r="H21" s="8">
        <f t="shared" si="3"/>
        <v>2938535.6063999999</v>
      </c>
      <c r="I21" s="8">
        <f t="shared" si="3"/>
        <v>2979448.8385279998</v>
      </c>
      <c r="J21" s="8">
        <f t="shared" si="3"/>
        <v>3025245.3352985596</v>
      </c>
      <c r="K21" s="8">
        <f t="shared" si="3"/>
        <v>2917318.762004531</v>
      </c>
      <c r="L21" s="8">
        <f t="shared" si="3"/>
        <v>2390185.1372446218</v>
      </c>
      <c r="M21" s="1"/>
    </row>
    <row r="22" spans="1:13" x14ac:dyDescent="0.4">
      <c r="C22" s="1"/>
    </row>
    <row r="23" spans="1:13" x14ac:dyDescent="0.4">
      <c r="A23" s="3" t="s">
        <v>81</v>
      </c>
      <c r="B23" s="3"/>
      <c r="C23" s="8">
        <f t="shared" ref="C23:L23" si="4">C13-C21</f>
        <v>939923</v>
      </c>
      <c r="D23" s="8">
        <f t="shared" si="4"/>
        <v>965831</v>
      </c>
      <c r="E23" s="8">
        <f t="shared" si="4"/>
        <v>1091726</v>
      </c>
      <c r="F23" s="8">
        <f t="shared" si="4"/>
        <v>2254535</v>
      </c>
      <c r="G23" s="8">
        <f t="shared" si="4"/>
        <v>2431961.6800000002</v>
      </c>
      <c r="H23" s="8">
        <f t="shared" si="4"/>
        <v>2386464.3936000001</v>
      </c>
      <c r="I23" s="8">
        <f t="shared" si="4"/>
        <v>2404551.1614720002</v>
      </c>
      <c r="J23" s="8">
        <f t="shared" si="4"/>
        <v>2418934.6647014404</v>
      </c>
      <c r="K23" s="8">
        <f t="shared" si="4"/>
        <v>2588244.8379954686</v>
      </c>
      <c r="L23" s="8">
        <f t="shared" si="4"/>
        <v>3177989.7347553778</v>
      </c>
    </row>
    <row r="24" spans="1:13" x14ac:dyDescent="0.4">
      <c r="A24" s="3"/>
      <c r="B24" s="3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3" x14ac:dyDescent="0.4">
      <c r="A25" s="35" t="s">
        <v>80</v>
      </c>
      <c r="B25" s="3"/>
      <c r="C25" s="6"/>
    </row>
    <row r="26" spans="1:13" x14ac:dyDescent="0.4">
      <c r="A26" s="36" t="s">
        <v>83</v>
      </c>
      <c r="B26" s="3"/>
      <c r="C26" s="1">
        <f>C23-C27</f>
        <v>689923</v>
      </c>
      <c r="D26" s="1">
        <f t="shared" ref="D26:L26" si="5">D23-D27</f>
        <v>715831</v>
      </c>
      <c r="E26" s="1">
        <f t="shared" si="5"/>
        <v>841726</v>
      </c>
      <c r="F26" s="1">
        <f t="shared" si="5"/>
        <v>2004535</v>
      </c>
      <c r="G26" s="1">
        <f t="shared" si="5"/>
        <v>2181961.6800000002</v>
      </c>
      <c r="H26" s="1">
        <f t="shared" si="5"/>
        <v>2136464.3936000001</v>
      </c>
      <c r="I26" s="1">
        <f t="shared" si="5"/>
        <v>2154551.1614720002</v>
      </c>
      <c r="J26" s="1">
        <f t="shared" si="5"/>
        <v>2168934.6647014404</v>
      </c>
      <c r="K26" s="1">
        <f t="shared" si="5"/>
        <v>2338244.8379954686</v>
      </c>
      <c r="L26" s="1">
        <f t="shared" si="5"/>
        <v>2927989.7347553778</v>
      </c>
    </row>
    <row r="27" spans="1:13" x14ac:dyDescent="0.4">
      <c r="A27" s="36" t="s">
        <v>82</v>
      </c>
      <c r="B27" s="3"/>
      <c r="C27" s="1">
        <f>250000</f>
        <v>250000</v>
      </c>
      <c r="D27" s="1">
        <f t="shared" ref="D27:L27" si="6">250000</f>
        <v>250000</v>
      </c>
      <c r="E27" s="1">
        <f t="shared" si="6"/>
        <v>250000</v>
      </c>
      <c r="F27" s="1">
        <f t="shared" si="6"/>
        <v>250000</v>
      </c>
      <c r="G27" s="1">
        <f t="shared" si="6"/>
        <v>250000</v>
      </c>
      <c r="H27" s="1">
        <f t="shared" si="6"/>
        <v>250000</v>
      </c>
      <c r="I27" s="1">
        <f t="shared" si="6"/>
        <v>250000</v>
      </c>
      <c r="J27" s="1">
        <f t="shared" si="6"/>
        <v>250000</v>
      </c>
      <c r="K27" s="1">
        <f t="shared" si="6"/>
        <v>250000</v>
      </c>
      <c r="L27" s="1">
        <f t="shared" si="6"/>
        <v>250000</v>
      </c>
    </row>
    <row r="28" spans="1:13" x14ac:dyDescent="0.4">
      <c r="A28" s="35"/>
      <c r="B28" s="3"/>
      <c r="C28" s="6"/>
    </row>
    <row r="29" spans="1:13" ht="15" thickBot="1" x14ac:dyDescent="0.45">
      <c r="A29" s="3" t="s">
        <v>84</v>
      </c>
      <c r="B29" s="7"/>
      <c r="C29" s="4">
        <f>C26+C27</f>
        <v>939923</v>
      </c>
      <c r="D29" s="4">
        <f t="shared" ref="D29:L29" si="7">D26+D27</f>
        <v>965831</v>
      </c>
      <c r="E29" s="4">
        <f t="shared" si="7"/>
        <v>1091726</v>
      </c>
      <c r="F29" s="4">
        <f t="shared" si="7"/>
        <v>2254535</v>
      </c>
      <c r="G29" s="4">
        <f t="shared" si="7"/>
        <v>2431961.6800000002</v>
      </c>
      <c r="H29" s="4">
        <f t="shared" si="7"/>
        <v>2386464.3936000001</v>
      </c>
      <c r="I29" s="4">
        <f t="shared" si="7"/>
        <v>2404551.1614720002</v>
      </c>
      <c r="J29" s="4">
        <f t="shared" si="7"/>
        <v>2418934.6647014404</v>
      </c>
      <c r="K29" s="4">
        <f t="shared" si="7"/>
        <v>2588244.8379954686</v>
      </c>
      <c r="L29" s="4">
        <f t="shared" si="7"/>
        <v>3177989.7347553778</v>
      </c>
    </row>
    <row r="30" spans="1:13" ht="15" thickTop="1" x14ac:dyDescent="0.4">
      <c r="A30" s="7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3" x14ac:dyDescent="0.4">
      <c r="A31" s="37" t="s">
        <v>85</v>
      </c>
      <c r="B31" s="34"/>
      <c r="C31" s="38">
        <f>C26</f>
        <v>689923</v>
      </c>
      <c r="D31" s="38">
        <f t="shared" ref="D31:L31" si="8">D26+C31</f>
        <v>1405754</v>
      </c>
      <c r="E31" s="38">
        <f t="shared" si="8"/>
        <v>2247480</v>
      </c>
      <c r="F31" s="38">
        <f t="shared" si="8"/>
        <v>4252015</v>
      </c>
      <c r="G31" s="38">
        <f t="shared" si="8"/>
        <v>6433976.6799999997</v>
      </c>
      <c r="H31" s="38">
        <f t="shared" si="8"/>
        <v>8570441.0735999998</v>
      </c>
      <c r="I31" s="38">
        <f t="shared" si="8"/>
        <v>10724992.235072</v>
      </c>
      <c r="J31" s="38">
        <f t="shared" si="8"/>
        <v>12893926.899773441</v>
      </c>
      <c r="K31" s="38">
        <f t="shared" si="8"/>
        <v>15232171.737768911</v>
      </c>
      <c r="L31" s="38">
        <f t="shared" si="8"/>
        <v>18160161.472524289</v>
      </c>
    </row>
    <row r="32" spans="1:13" x14ac:dyDescent="0.4">
      <c r="A32" s="7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0" ht="43.75" x14ac:dyDescent="0.4">
      <c r="A33" s="5" t="s">
        <v>16</v>
      </c>
      <c r="B33" s="5"/>
    </row>
    <row r="34" spans="1:10" x14ac:dyDescent="0.4">
      <c r="A34" t="s">
        <v>10</v>
      </c>
    </row>
    <row r="35" spans="1:10" x14ac:dyDescent="0.4">
      <c r="A35" t="s">
        <v>11</v>
      </c>
    </row>
    <row r="36" spans="1:10" x14ac:dyDescent="0.4">
      <c r="A36" t="s">
        <v>12</v>
      </c>
    </row>
    <row r="37" spans="1:10" x14ac:dyDescent="0.4">
      <c r="A37" t="s">
        <v>13</v>
      </c>
      <c r="E37" t="s">
        <v>78</v>
      </c>
      <c r="J37" t="s">
        <v>79</v>
      </c>
    </row>
  </sheetData>
  <pageMargins left="0.7" right="0" top="0.75" bottom="0.75" header="0.3" footer="0.3"/>
  <pageSetup scale="90" fitToHeight="0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abSelected="1" zoomScaleNormal="100" workbookViewId="0">
      <selection activeCell="G6" sqref="G6"/>
    </sheetView>
  </sheetViews>
  <sheetFormatPr defaultRowHeight="14.6" x14ac:dyDescent="0.4"/>
  <cols>
    <col min="1" max="1" width="49.3828125" customWidth="1"/>
    <col min="2" max="2" width="2.69140625" customWidth="1"/>
    <col min="3" max="12" width="11.84375" bestFit="1" customWidth="1"/>
    <col min="13" max="13" width="10.15234375" bestFit="1" customWidth="1"/>
  </cols>
  <sheetData>
    <row r="1" spans="1:12" x14ac:dyDescent="0.4">
      <c r="A1" t="s">
        <v>89</v>
      </c>
      <c r="C1" t="s">
        <v>105</v>
      </c>
      <c r="D1" s="44">
        <v>0.02</v>
      </c>
    </row>
    <row r="2" spans="1:12" x14ac:dyDescent="0.4">
      <c r="A2" t="s">
        <v>90</v>
      </c>
    </row>
    <row r="3" spans="1:12" x14ac:dyDescent="0.4">
      <c r="A3" t="s">
        <v>99</v>
      </c>
    </row>
    <row r="4" spans="1:12" x14ac:dyDescent="0.4">
      <c r="A4" t="s">
        <v>91</v>
      </c>
    </row>
    <row r="5" spans="1:12" x14ac:dyDescent="0.4">
      <c r="A5" t="s">
        <v>98</v>
      </c>
    </row>
    <row r="6" spans="1:12" x14ac:dyDescent="0.4">
      <c r="C6" s="45" t="s">
        <v>117</v>
      </c>
    </row>
    <row r="7" spans="1:12" x14ac:dyDescent="0.4">
      <c r="C7" s="41" t="s">
        <v>17</v>
      </c>
      <c r="D7" s="41" t="s">
        <v>18</v>
      </c>
      <c r="E7" s="41" t="s">
        <v>19</v>
      </c>
      <c r="F7" s="41" t="s">
        <v>20</v>
      </c>
      <c r="G7" s="41" t="s">
        <v>21</v>
      </c>
      <c r="H7" s="41" t="s">
        <v>22</v>
      </c>
      <c r="I7" s="41" t="s">
        <v>72</v>
      </c>
      <c r="J7" s="41" t="s">
        <v>73</v>
      </c>
      <c r="K7" s="41" t="s">
        <v>74</v>
      </c>
      <c r="L7" s="41" t="s">
        <v>75</v>
      </c>
    </row>
    <row r="9" spans="1:12" x14ac:dyDescent="0.4">
      <c r="A9" s="10" t="s">
        <v>1</v>
      </c>
      <c r="B9" s="10"/>
    </row>
    <row r="10" spans="1:12" hidden="1" x14ac:dyDescent="0.4">
      <c r="A10" s="9">
        <v>0.02</v>
      </c>
      <c r="B10" s="9"/>
    </row>
    <row r="11" spans="1:12" x14ac:dyDescent="0.4">
      <c r="A11" s="36" t="s">
        <v>92</v>
      </c>
      <c r="C11" s="1">
        <f>250000</f>
        <v>250000</v>
      </c>
      <c r="D11" s="1">
        <f t="shared" ref="D11:L11" si="0">250000</f>
        <v>250000</v>
      </c>
      <c r="E11" s="1">
        <f t="shared" si="0"/>
        <v>250000</v>
      </c>
      <c r="F11" s="1">
        <f t="shared" si="0"/>
        <v>250000</v>
      </c>
      <c r="G11" s="1">
        <f t="shared" si="0"/>
        <v>250000</v>
      </c>
      <c r="H11" s="1">
        <f t="shared" si="0"/>
        <v>250000</v>
      </c>
      <c r="I11" s="1">
        <f t="shared" si="0"/>
        <v>250000</v>
      </c>
      <c r="J11" s="1">
        <f t="shared" si="0"/>
        <v>250000</v>
      </c>
      <c r="K11" s="1">
        <f t="shared" si="0"/>
        <v>250000</v>
      </c>
      <c r="L11" s="1">
        <f t="shared" si="0"/>
        <v>250000</v>
      </c>
    </row>
    <row r="12" spans="1:12" x14ac:dyDescent="0.4">
      <c r="A12" t="s">
        <v>97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4">
      <c r="A13" s="3" t="s">
        <v>4</v>
      </c>
      <c r="B13" s="3"/>
      <c r="C13" s="8">
        <f>SUM(C11:C12)</f>
        <v>250000</v>
      </c>
      <c r="D13" s="8">
        <f t="shared" ref="D13:L13" si="1">SUM(D11:D12)</f>
        <v>250000</v>
      </c>
      <c r="E13" s="8">
        <f t="shared" si="1"/>
        <v>250000</v>
      </c>
      <c r="F13" s="8">
        <f t="shared" si="1"/>
        <v>250000</v>
      </c>
      <c r="G13" s="8">
        <f t="shared" si="1"/>
        <v>250000</v>
      </c>
      <c r="H13" s="8">
        <f t="shared" si="1"/>
        <v>250000</v>
      </c>
      <c r="I13" s="8">
        <f t="shared" si="1"/>
        <v>250000</v>
      </c>
      <c r="J13" s="8">
        <f t="shared" si="1"/>
        <v>250000</v>
      </c>
      <c r="K13" s="8">
        <f t="shared" si="1"/>
        <v>250000</v>
      </c>
      <c r="L13" s="8">
        <f t="shared" si="1"/>
        <v>250000</v>
      </c>
    </row>
    <row r="15" spans="1:12" x14ac:dyDescent="0.4">
      <c r="A15" s="10" t="s">
        <v>3</v>
      </c>
      <c r="B15" s="10"/>
    </row>
    <row r="16" spans="1:12" x14ac:dyDescent="0.4">
      <c r="A16" s="40" t="s">
        <v>95</v>
      </c>
      <c r="B16" s="10"/>
      <c r="C16" s="2">
        <f>$C$32</f>
        <v>14400</v>
      </c>
      <c r="D16" s="2">
        <f>C16*(1+$D$1)</f>
        <v>14688</v>
      </c>
      <c r="E16" s="2">
        <f t="shared" ref="E16:L18" si="2">D16*(1+$D$1)</f>
        <v>14981.76</v>
      </c>
      <c r="F16" s="2">
        <f t="shared" si="2"/>
        <v>15281.395200000001</v>
      </c>
      <c r="G16" s="2">
        <f t="shared" si="2"/>
        <v>15587.023104000002</v>
      </c>
      <c r="H16" s="2">
        <f t="shared" si="2"/>
        <v>15898.763566080002</v>
      </c>
      <c r="I16" s="2">
        <f t="shared" si="2"/>
        <v>16216.738837401603</v>
      </c>
      <c r="J16" s="2">
        <f t="shared" si="2"/>
        <v>16541.073614149635</v>
      </c>
      <c r="K16" s="2">
        <f t="shared" si="2"/>
        <v>16871.895086432629</v>
      </c>
      <c r="L16" s="2">
        <f t="shared" si="2"/>
        <v>17209.332988161281</v>
      </c>
    </row>
    <row r="17" spans="1:13" x14ac:dyDescent="0.4">
      <c r="A17" t="s">
        <v>93</v>
      </c>
      <c r="C17" s="2">
        <v>42000</v>
      </c>
      <c r="D17" s="2">
        <v>42000</v>
      </c>
      <c r="E17" s="2">
        <v>42000</v>
      </c>
      <c r="F17" s="2">
        <v>42000</v>
      </c>
      <c r="G17" s="2">
        <v>48000</v>
      </c>
      <c r="H17" s="2">
        <v>48000</v>
      </c>
      <c r="I17" s="2">
        <v>48000</v>
      </c>
      <c r="J17" s="2">
        <v>48000</v>
      </c>
      <c r="K17" s="2">
        <v>54000</v>
      </c>
      <c r="L17" s="2">
        <v>54000</v>
      </c>
      <c r="M17" s="1"/>
    </row>
    <row r="18" spans="1:13" x14ac:dyDescent="0.4">
      <c r="A18" t="s">
        <v>100</v>
      </c>
      <c r="C18" s="2">
        <v>50000</v>
      </c>
      <c r="D18" s="2">
        <f>C18*(1+$D$1)</f>
        <v>51000</v>
      </c>
      <c r="E18" s="2">
        <f t="shared" si="2"/>
        <v>52020</v>
      </c>
      <c r="F18" s="2">
        <f t="shared" si="2"/>
        <v>53060.4</v>
      </c>
      <c r="G18" s="2">
        <f t="shared" si="2"/>
        <v>54121.608</v>
      </c>
      <c r="H18" s="2">
        <f t="shared" si="2"/>
        <v>55204.040160000004</v>
      </c>
      <c r="I18" s="2">
        <f t="shared" si="2"/>
        <v>56308.120963200003</v>
      </c>
      <c r="J18" s="2">
        <f t="shared" si="2"/>
        <v>57434.283382464004</v>
      </c>
      <c r="K18" s="2">
        <f t="shared" si="2"/>
        <v>58582.969050113286</v>
      </c>
      <c r="L18" s="2">
        <f t="shared" si="2"/>
        <v>59754.628431115554</v>
      </c>
      <c r="M18" s="1"/>
    </row>
    <row r="19" spans="1:13" x14ac:dyDescent="0.4">
      <c r="A19" t="s">
        <v>101</v>
      </c>
      <c r="C19" s="2">
        <v>36000</v>
      </c>
      <c r="D19" s="2">
        <v>36000</v>
      </c>
      <c r="E19" s="2">
        <v>36000</v>
      </c>
      <c r="F19" s="2">
        <v>36000</v>
      </c>
      <c r="G19" s="2">
        <v>36000</v>
      </c>
      <c r="H19" s="2">
        <v>36000</v>
      </c>
      <c r="I19" s="2">
        <v>36000</v>
      </c>
      <c r="J19" s="2">
        <v>36000</v>
      </c>
      <c r="K19" s="2">
        <v>36000</v>
      </c>
      <c r="L19" s="2">
        <v>36000</v>
      </c>
      <c r="M19" s="1"/>
    </row>
    <row r="20" spans="1:13" x14ac:dyDescent="0.4">
      <c r="A20" t="s">
        <v>115</v>
      </c>
      <c r="C20" s="2">
        <v>25000</v>
      </c>
      <c r="D20" s="2">
        <v>25000</v>
      </c>
      <c r="E20" s="2">
        <v>25000</v>
      </c>
      <c r="F20" s="2">
        <v>25000</v>
      </c>
      <c r="G20" s="2">
        <v>25000</v>
      </c>
      <c r="H20" s="2">
        <v>25000</v>
      </c>
      <c r="I20" s="2">
        <v>25000</v>
      </c>
      <c r="J20" s="2">
        <v>25000</v>
      </c>
      <c r="K20" s="2">
        <v>25000</v>
      </c>
      <c r="L20" s="2">
        <v>25000</v>
      </c>
      <c r="M20" s="1"/>
    </row>
    <row r="21" spans="1:13" x14ac:dyDescent="0.4">
      <c r="A21" t="s">
        <v>94</v>
      </c>
      <c r="C21" s="2">
        <v>10000</v>
      </c>
      <c r="D21" s="2">
        <v>5000</v>
      </c>
      <c r="E21" s="2">
        <v>5000</v>
      </c>
      <c r="F21" s="2">
        <v>5000</v>
      </c>
      <c r="G21" s="2">
        <v>6000</v>
      </c>
      <c r="H21" s="2">
        <v>6000</v>
      </c>
      <c r="I21" s="2">
        <v>6000</v>
      </c>
      <c r="J21" s="2">
        <v>6000</v>
      </c>
      <c r="K21" s="2">
        <v>7000</v>
      </c>
      <c r="L21" s="2">
        <v>7000</v>
      </c>
      <c r="M21" s="1"/>
    </row>
    <row r="22" spans="1:13" x14ac:dyDescent="0.4">
      <c r="A22" t="s">
        <v>107</v>
      </c>
      <c r="C22" s="2">
        <f>C34*12</f>
        <v>3000</v>
      </c>
      <c r="D22" s="2">
        <f>C22*(1+0.05)</f>
        <v>3150</v>
      </c>
      <c r="E22" s="2">
        <f t="shared" ref="E22:L22" si="3">D22*(1+0.05)</f>
        <v>3307.5</v>
      </c>
      <c r="F22" s="2">
        <f t="shared" si="3"/>
        <v>3472.875</v>
      </c>
      <c r="G22" s="2">
        <f t="shared" si="3"/>
        <v>3646.5187500000002</v>
      </c>
      <c r="H22" s="2">
        <f t="shared" si="3"/>
        <v>3828.8446875000004</v>
      </c>
      <c r="I22" s="2">
        <f t="shared" si="3"/>
        <v>4020.2869218750006</v>
      </c>
      <c r="J22" s="2">
        <f t="shared" si="3"/>
        <v>4221.3012679687508</v>
      </c>
      <c r="K22" s="2">
        <f t="shared" si="3"/>
        <v>4432.3663313671886</v>
      </c>
      <c r="L22" s="2">
        <f t="shared" si="3"/>
        <v>4653.9846479355483</v>
      </c>
      <c r="M22" s="1"/>
    </row>
    <row r="23" spans="1:13" x14ac:dyDescent="0.4">
      <c r="A23" t="s">
        <v>114</v>
      </c>
      <c r="C23" s="2">
        <v>10000</v>
      </c>
      <c r="D23" s="2">
        <v>5000</v>
      </c>
      <c r="E23" s="2">
        <f>D23*(1+$D$1)</f>
        <v>5100</v>
      </c>
      <c r="F23" s="2">
        <f t="shared" ref="F23:L23" si="4">E23*(1+$D$1)</f>
        <v>5202</v>
      </c>
      <c r="G23" s="2">
        <f t="shared" si="4"/>
        <v>5306.04</v>
      </c>
      <c r="H23" s="2">
        <f t="shared" si="4"/>
        <v>5412.1607999999997</v>
      </c>
      <c r="I23" s="2">
        <f t="shared" si="4"/>
        <v>5520.4040159999995</v>
      </c>
      <c r="J23" s="2">
        <f t="shared" si="4"/>
        <v>5630.8120963199999</v>
      </c>
      <c r="K23" s="2">
        <f t="shared" si="4"/>
        <v>5743.4283382464</v>
      </c>
      <c r="L23" s="2">
        <f t="shared" si="4"/>
        <v>5858.2969050113279</v>
      </c>
      <c r="M23" s="1"/>
    </row>
    <row r="24" spans="1:13" x14ac:dyDescent="0.4">
      <c r="A24" t="s">
        <v>96</v>
      </c>
      <c r="C24" s="2">
        <v>10000</v>
      </c>
      <c r="D24" s="2">
        <v>7500</v>
      </c>
      <c r="E24" s="2">
        <v>7500</v>
      </c>
      <c r="F24" s="2">
        <v>7500</v>
      </c>
      <c r="G24" s="2">
        <v>8500</v>
      </c>
      <c r="H24" s="2">
        <v>8500</v>
      </c>
      <c r="I24" s="2">
        <v>8500</v>
      </c>
      <c r="J24" s="2">
        <v>9500</v>
      </c>
      <c r="K24" s="2">
        <v>9500</v>
      </c>
      <c r="L24" s="2">
        <v>9500</v>
      </c>
      <c r="M24" s="1"/>
    </row>
    <row r="25" spans="1:13" x14ac:dyDescent="0.4">
      <c r="A25" s="35" t="s">
        <v>112</v>
      </c>
      <c r="B25" s="3"/>
      <c r="C25" s="8">
        <f>SUM(C16:C24)</f>
        <v>200400</v>
      </c>
      <c r="D25" s="8">
        <f t="shared" ref="D25:L25" si="5">SUM(D16:D24)</f>
        <v>189338</v>
      </c>
      <c r="E25" s="8">
        <f t="shared" si="5"/>
        <v>190909.26</v>
      </c>
      <c r="F25" s="8">
        <f t="shared" si="5"/>
        <v>192516.67019999999</v>
      </c>
      <c r="G25" s="8">
        <f t="shared" si="5"/>
        <v>202161.189854</v>
      </c>
      <c r="H25" s="8">
        <f t="shared" si="5"/>
        <v>203843.80921358001</v>
      </c>
      <c r="I25" s="8">
        <f t="shared" si="5"/>
        <v>205565.5507384766</v>
      </c>
      <c r="J25" s="8">
        <f t="shared" si="5"/>
        <v>208327.4703609024</v>
      </c>
      <c r="K25" s="8">
        <f t="shared" si="5"/>
        <v>217130.65880615951</v>
      </c>
      <c r="L25" s="8">
        <f t="shared" si="5"/>
        <v>218976.2429722237</v>
      </c>
      <c r="M25" s="1"/>
    </row>
    <row r="26" spans="1:13" x14ac:dyDescent="0.4">
      <c r="A26" s="35" t="s">
        <v>113</v>
      </c>
      <c r="B26" s="3"/>
      <c r="C26" s="6">
        <f>C25*(1+C33)</f>
        <v>240480</v>
      </c>
      <c r="D26" s="6">
        <f t="shared" ref="D26:L26" si="6">D25*(1+$D$33)</f>
        <v>208271.80000000002</v>
      </c>
      <c r="E26" s="6">
        <f t="shared" si="6"/>
        <v>210000.18600000002</v>
      </c>
      <c r="F26" s="6">
        <f t="shared" si="6"/>
        <v>211768.33722000002</v>
      </c>
      <c r="G26" s="6">
        <f t="shared" si="6"/>
        <v>222377.30883940001</v>
      </c>
      <c r="H26" s="6">
        <f t="shared" si="6"/>
        <v>224228.19013493802</v>
      </c>
      <c r="I26" s="6">
        <f t="shared" si="6"/>
        <v>226122.10581232427</v>
      </c>
      <c r="J26" s="6">
        <f t="shared" si="6"/>
        <v>229160.21739699267</v>
      </c>
      <c r="K26" s="6">
        <f t="shared" si="6"/>
        <v>238843.72468677547</v>
      </c>
      <c r="L26" s="6">
        <f t="shared" si="6"/>
        <v>240873.86726944608</v>
      </c>
      <c r="M26" s="1"/>
    </row>
    <row r="27" spans="1:13" x14ac:dyDescent="0.4">
      <c r="A27" s="35" t="s">
        <v>110</v>
      </c>
      <c r="B27" s="3"/>
      <c r="C27" s="6">
        <f>C13-C26</f>
        <v>9520</v>
      </c>
      <c r="D27" s="6">
        <f t="shared" ref="D27:L27" si="7">D13-D26</f>
        <v>41728.199999999983</v>
      </c>
      <c r="E27" s="6">
        <f t="shared" si="7"/>
        <v>39999.813999999984</v>
      </c>
      <c r="F27" s="6">
        <f t="shared" si="7"/>
        <v>38231.662779999984</v>
      </c>
      <c r="G27" s="6">
        <f t="shared" si="7"/>
        <v>27622.691160599992</v>
      </c>
      <c r="H27" s="6">
        <f t="shared" si="7"/>
        <v>25771.80986506198</v>
      </c>
      <c r="I27" s="6">
        <f t="shared" si="7"/>
        <v>23877.894187675731</v>
      </c>
      <c r="J27" s="6">
        <f t="shared" si="7"/>
        <v>20839.782603007334</v>
      </c>
      <c r="K27" s="6">
        <f t="shared" si="7"/>
        <v>11156.275313224527</v>
      </c>
      <c r="L27" s="6">
        <f t="shared" si="7"/>
        <v>9126.1327305539162</v>
      </c>
    </row>
    <row r="28" spans="1:13" x14ac:dyDescent="0.4">
      <c r="A28" s="35" t="s">
        <v>111</v>
      </c>
      <c r="B28" s="7"/>
      <c r="C28" s="6">
        <f>C13-C25</f>
        <v>49600</v>
      </c>
      <c r="D28" s="6">
        <f t="shared" ref="D28:L28" si="8">D13-D25</f>
        <v>60662</v>
      </c>
      <c r="E28" s="6">
        <f t="shared" si="8"/>
        <v>59090.739999999991</v>
      </c>
      <c r="F28" s="6">
        <f t="shared" si="8"/>
        <v>57483.329800000007</v>
      </c>
      <c r="G28" s="6">
        <f t="shared" si="8"/>
        <v>47838.810146000003</v>
      </c>
      <c r="H28" s="6">
        <f t="shared" si="8"/>
        <v>46156.190786419989</v>
      </c>
      <c r="I28" s="6">
        <f t="shared" si="8"/>
        <v>44434.449261523405</v>
      </c>
      <c r="J28" s="6">
        <f t="shared" si="8"/>
        <v>41672.5296390976</v>
      </c>
      <c r="K28" s="6">
        <f t="shared" si="8"/>
        <v>32869.34119384049</v>
      </c>
      <c r="L28" s="6">
        <f t="shared" si="8"/>
        <v>31023.757027776301</v>
      </c>
    </row>
    <row r="29" spans="1:13" x14ac:dyDescent="0.4">
      <c r="A29" s="7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3" x14ac:dyDescent="0.4">
      <c r="A30" s="5" t="s">
        <v>102</v>
      </c>
      <c r="B30" s="5"/>
      <c r="C30">
        <f>10+10+20+20</f>
        <v>60</v>
      </c>
    </row>
    <row r="31" spans="1:13" x14ac:dyDescent="0.4">
      <c r="A31" t="s">
        <v>103</v>
      </c>
      <c r="C31" s="42">
        <v>20</v>
      </c>
    </row>
    <row r="32" spans="1:13" x14ac:dyDescent="0.4">
      <c r="A32" t="s">
        <v>104</v>
      </c>
      <c r="C32" s="43">
        <f>C30*C31*12</f>
        <v>14400</v>
      </c>
    </row>
    <row r="33" spans="1:5" x14ac:dyDescent="0.4">
      <c r="A33" t="s">
        <v>106</v>
      </c>
      <c r="C33" s="9">
        <v>0.2</v>
      </c>
      <c r="D33" s="9">
        <v>0.1</v>
      </c>
      <c r="E33" t="s">
        <v>109</v>
      </c>
    </row>
    <row r="34" spans="1:5" x14ac:dyDescent="0.4">
      <c r="A34" t="s">
        <v>108</v>
      </c>
      <c r="C34" s="42">
        <v>250</v>
      </c>
    </row>
  </sheetData>
  <pageMargins left="0.7" right="0" top="0.75" bottom="0.75" header="0.3" footer="0.3"/>
  <pageSetup scale="90" fitToHeight="0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1"/>
  <sheetViews>
    <sheetView workbookViewId="0">
      <selection activeCell="B4" sqref="B4"/>
    </sheetView>
  </sheetViews>
  <sheetFormatPr defaultRowHeight="14.6" x14ac:dyDescent="0.4"/>
  <cols>
    <col min="1" max="1" width="36.84375" bestFit="1" customWidth="1"/>
    <col min="3" max="3" width="16" style="11" bestFit="1" customWidth="1"/>
    <col min="4" max="4" width="14.3046875" style="11" bestFit="1" customWidth="1"/>
    <col min="5" max="5" width="16" style="11" bestFit="1" customWidth="1"/>
  </cols>
  <sheetData>
    <row r="1" spans="1:5" ht="15.9" x14ac:dyDescent="0.45">
      <c r="A1" s="12" t="s">
        <v>0</v>
      </c>
      <c r="B1" s="12"/>
      <c r="C1" s="13"/>
      <c r="D1" s="13"/>
      <c r="E1" s="13"/>
    </row>
    <row r="2" spans="1:5" ht="15.9" x14ac:dyDescent="0.45">
      <c r="A2" s="12" t="s">
        <v>68</v>
      </c>
      <c r="B2" s="12"/>
      <c r="C2" s="13"/>
      <c r="D2" s="13"/>
      <c r="E2" s="13"/>
    </row>
    <row r="3" spans="1:5" ht="16.3" thickBot="1" x14ac:dyDescent="0.5">
      <c r="A3" s="12" t="s">
        <v>23</v>
      </c>
      <c r="B3" s="12"/>
      <c r="C3" s="13"/>
      <c r="D3" s="13"/>
      <c r="E3" s="13"/>
    </row>
    <row r="4" spans="1:5" ht="16.3" thickBot="1" x14ac:dyDescent="0.5">
      <c r="A4" s="12"/>
      <c r="B4" s="12"/>
      <c r="C4" s="14">
        <v>43738</v>
      </c>
      <c r="D4" s="15" t="s">
        <v>24</v>
      </c>
      <c r="E4" s="16" t="s">
        <v>71</v>
      </c>
    </row>
    <row r="5" spans="1:5" ht="15.9" x14ac:dyDescent="0.45">
      <c r="A5" s="12" t="s">
        <v>25</v>
      </c>
      <c r="B5" s="12"/>
      <c r="C5" s="17">
        <v>1074298</v>
      </c>
      <c r="D5" s="17"/>
      <c r="E5" s="17">
        <f>+D5+C5</f>
        <v>1074298</v>
      </c>
    </row>
    <row r="6" spans="1:5" ht="15.9" x14ac:dyDescent="0.45">
      <c r="A6" s="12" t="s">
        <v>26</v>
      </c>
      <c r="B6" s="12"/>
      <c r="C6" s="13">
        <v>985806</v>
      </c>
      <c r="D6" s="13"/>
      <c r="E6" s="13">
        <f>+D6+C6</f>
        <v>985806</v>
      </c>
    </row>
    <row r="7" spans="1:5" ht="15.9" x14ac:dyDescent="0.45">
      <c r="A7" s="12" t="s">
        <v>27</v>
      </c>
      <c r="B7" s="12"/>
      <c r="C7" s="13">
        <f>17747685-13355863</f>
        <v>4391822</v>
      </c>
      <c r="D7" s="13">
        <v>-4391822</v>
      </c>
      <c r="E7" s="13">
        <f t="shared" ref="E7:E10" si="0">+D7+C7</f>
        <v>0</v>
      </c>
    </row>
    <row r="8" spans="1:5" ht="15.9" x14ac:dyDescent="0.45">
      <c r="A8" s="12" t="s">
        <v>28</v>
      </c>
      <c r="B8" s="12"/>
      <c r="C8" s="13">
        <v>1524076</v>
      </c>
      <c r="D8" s="13">
        <v>-1524076</v>
      </c>
      <c r="E8" s="13">
        <f t="shared" si="0"/>
        <v>0</v>
      </c>
    </row>
    <row r="9" spans="1:5" ht="15" customHeight="1" x14ac:dyDescent="0.45">
      <c r="A9" s="12" t="s">
        <v>29</v>
      </c>
      <c r="B9" s="12"/>
      <c r="C9" s="13">
        <v>1307854</v>
      </c>
      <c r="D9" s="13">
        <v>-1307854</v>
      </c>
      <c r="E9" s="13">
        <f t="shared" si="0"/>
        <v>0</v>
      </c>
    </row>
    <row r="10" spans="1:5" ht="15.9" x14ac:dyDescent="0.45">
      <c r="A10" s="12" t="s">
        <v>30</v>
      </c>
      <c r="B10" s="12"/>
      <c r="C10" s="13">
        <v>843710</v>
      </c>
      <c r="D10" s="13">
        <v>-843710</v>
      </c>
      <c r="E10" s="13">
        <f t="shared" si="0"/>
        <v>0</v>
      </c>
    </row>
    <row r="11" spans="1:5" ht="15.9" x14ac:dyDescent="0.45">
      <c r="A11" s="12" t="s">
        <v>31</v>
      </c>
      <c r="B11" s="12"/>
      <c r="C11" s="18">
        <f>SUM(C5:C10)</f>
        <v>10127566</v>
      </c>
      <c r="D11" s="13"/>
      <c r="E11" s="18">
        <f>SUM(E5:E10)</f>
        <v>2060104</v>
      </c>
    </row>
    <row r="12" spans="1:5" ht="15.9" x14ac:dyDescent="0.45">
      <c r="A12" s="12" t="s">
        <v>32</v>
      </c>
      <c r="B12" s="12"/>
      <c r="C12" s="13">
        <v>4391979</v>
      </c>
      <c r="D12" s="13">
        <f>+E51</f>
        <v>-1915880</v>
      </c>
      <c r="E12" s="13">
        <f t="shared" ref="E12:E15" si="1">+D12+C12</f>
        <v>2476099</v>
      </c>
    </row>
    <row r="13" spans="1:5" ht="15.9" x14ac:dyDescent="0.45">
      <c r="A13" s="12" t="s">
        <v>33</v>
      </c>
      <c r="B13" s="12"/>
      <c r="C13" s="13">
        <v>13774</v>
      </c>
      <c r="D13" s="13"/>
      <c r="E13" s="13">
        <f t="shared" si="1"/>
        <v>13774</v>
      </c>
    </row>
    <row r="14" spans="1:5" ht="15.9" x14ac:dyDescent="0.45">
      <c r="A14" s="12" t="s">
        <v>34</v>
      </c>
      <c r="B14" s="12"/>
      <c r="C14" s="13">
        <v>856132</v>
      </c>
      <c r="D14" s="13"/>
      <c r="E14" s="13">
        <f t="shared" si="1"/>
        <v>856132</v>
      </c>
    </row>
    <row r="15" spans="1:5" ht="15.9" x14ac:dyDescent="0.45">
      <c r="A15" s="12" t="s">
        <v>35</v>
      </c>
      <c r="B15" s="12"/>
      <c r="C15" s="13">
        <v>459063</v>
      </c>
      <c r="D15" s="13"/>
      <c r="E15" s="13">
        <f t="shared" si="1"/>
        <v>459063</v>
      </c>
    </row>
    <row r="16" spans="1:5" ht="15.9" x14ac:dyDescent="0.45">
      <c r="A16" s="12" t="s">
        <v>36</v>
      </c>
      <c r="B16" s="12"/>
      <c r="C16" s="18">
        <f>SUM(C12:C15)</f>
        <v>5720948</v>
      </c>
      <c r="D16" s="13"/>
      <c r="E16" s="18">
        <f>SUM(E12:E15)</f>
        <v>3805068</v>
      </c>
    </row>
    <row r="17" spans="1:5" ht="15.9" x14ac:dyDescent="0.45">
      <c r="A17" s="12" t="s">
        <v>37</v>
      </c>
      <c r="B17" s="12"/>
      <c r="C17" s="13"/>
      <c r="D17" s="13"/>
      <c r="E17" s="13"/>
    </row>
    <row r="18" spans="1:5" ht="15.9" x14ac:dyDescent="0.45">
      <c r="A18" s="12" t="s">
        <v>38</v>
      </c>
      <c r="B18" s="12"/>
      <c r="C18" s="13">
        <v>117490</v>
      </c>
      <c r="D18" s="13"/>
      <c r="E18" s="13">
        <f t="shared" ref="E18:E23" si="2">+D18+C18</f>
        <v>117490</v>
      </c>
    </row>
    <row r="19" spans="1:5" ht="15.9" x14ac:dyDescent="0.45">
      <c r="A19" s="12" t="s">
        <v>39</v>
      </c>
      <c r="B19" s="12"/>
      <c r="C19" s="13">
        <v>805398</v>
      </c>
      <c r="D19" s="13"/>
      <c r="E19" s="13">
        <f t="shared" si="2"/>
        <v>805398</v>
      </c>
    </row>
    <row r="20" spans="1:5" ht="15.9" x14ac:dyDescent="0.45">
      <c r="A20" s="12" t="s">
        <v>40</v>
      </c>
      <c r="B20" s="12"/>
      <c r="C20" s="13">
        <v>24604464</v>
      </c>
      <c r="D20" s="13"/>
      <c r="E20" s="13">
        <f t="shared" si="2"/>
        <v>24604464</v>
      </c>
    </row>
    <row r="21" spans="1:5" ht="15.9" x14ac:dyDescent="0.45">
      <c r="A21" s="12" t="s">
        <v>41</v>
      </c>
      <c r="B21" s="12"/>
      <c r="C21" s="13">
        <v>546439</v>
      </c>
      <c r="D21" s="13"/>
      <c r="E21" s="13">
        <f t="shared" si="2"/>
        <v>546439</v>
      </c>
    </row>
    <row r="22" spans="1:5" ht="15.9" x14ac:dyDescent="0.45">
      <c r="A22" s="12" t="s">
        <v>42</v>
      </c>
      <c r="B22" s="12"/>
      <c r="C22" s="13">
        <v>20511069</v>
      </c>
      <c r="D22" s="13"/>
      <c r="E22" s="13">
        <f t="shared" si="2"/>
        <v>20511069</v>
      </c>
    </row>
    <row r="23" spans="1:5" ht="15.9" x14ac:dyDescent="0.45">
      <c r="A23" s="12" t="s">
        <v>43</v>
      </c>
      <c r="B23" s="12"/>
      <c r="C23" s="13">
        <v>1729613</v>
      </c>
      <c r="D23" s="13"/>
      <c r="E23" s="13">
        <f t="shared" si="2"/>
        <v>1729613</v>
      </c>
    </row>
    <row r="24" spans="1:5" ht="15.9" x14ac:dyDescent="0.45">
      <c r="A24" s="12" t="s">
        <v>44</v>
      </c>
      <c r="B24" s="12"/>
      <c r="C24" s="18">
        <f>SUM(C18:C23)</f>
        <v>48314473</v>
      </c>
      <c r="D24" s="13"/>
      <c r="E24" s="18">
        <f>SUM(E18:E23)</f>
        <v>48314473</v>
      </c>
    </row>
    <row r="25" spans="1:5" ht="15.9" x14ac:dyDescent="0.45">
      <c r="A25" s="12" t="s">
        <v>45</v>
      </c>
      <c r="B25" s="12"/>
      <c r="C25" s="18">
        <v>-33884239</v>
      </c>
      <c r="D25" s="13"/>
      <c r="E25" s="18">
        <v>-33884239</v>
      </c>
    </row>
    <row r="26" spans="1:5" ht="15.9" x14ac:dyDescent="0.45">
      <c r="A26" s="12" t="s">
        <v>46</v>
      </c>
      <c r="B26" s="12"/>
      <c r="C26" s="19">
        <f>+C24+C25</f>
        <v>14430234</v>
      </c>
      <c r="D26" s="13"/>
      <c r="E26" s="18">
        <f>+E24+E25</f>
        <v>14430234</v>
      </c>
    </row>
    <row r="27" spans="1:5" ht="16.3" thickBot="1" x14ac:dyDescent="0.5">
      <c r="A27" s="20" t="s">
        <v>47</v>
      </c>
      <c r="B27" s="12"/>
      <c r="C27" s="21">
        <f>+C11+C16+C26</f>
        <v>30278748</v>
      </c>
      <c r="D27" s="31">
        <f>SUM(D5:D26)</f>
        <v>-9983342</v>
      </c>
      <c r="E27" s="21">
        <f>+E11+E16+E26</f>
        <v>20295406</v>
      </c>
    </row>
    <row r="28" spans="1:5" ht="16.3" thickTop="1" x14ac:dyDescent="0.45">
      <c r="A28" s="12"/>
      <c r="B28" s="12"/>
      <c r="C28" s="13"/>
      <c r="D28" s="13"/>
      <c r="E28" s="13"/>
    </row>
    <row r="29" spans="1:5" ht="15.9" x14ac:dyDescent="0.45">
      <c r="A29" s="12" t="s">
        <v>48</v>
      </c>
      <c r="B29" s="12"/>
      <c r="C29" s="17">
        <v>-5636743</v>
      </c>
      <c r="D29" s="13">
        <v>5636743</v>
      </c>
      <c r="E29" s="17">
        <f t="shared" ref="E29:E38" si="3">+D29+C29</f>
        <v>0</v>
      </c>
    </row>
    <row r="30" spans="1:5" ht="15.9" x14ac:dyDescent="0.45">
      <c r="A30" s="12" t="s">
        <v>49</v>
      </c>
      <c r="B30" s="12"/>
      <c r="C30" s="13">
        <v>-511499</v>
      </c>
      <c r="D30" s="13">
        <v>511499</v>
      </c>
      <c r="E30" s="13">
        <f t="shared" si="3"/>
        <v>0</v>
      </c>
    </row>
    <row r="31" spans="1:5" ht="15.9" x14ac:dyDescent="0.45">
      <c r="A31" s="12" t="s">
        <v>50</v>
      </c>
      <c r="B31" s="12"/>
      <c r="C31" s="13">
        <v>-1098446</v>
      </c>
      <c r="D31" s="13">
        <v>1098446</v>
      </c>
      <c r="E31" s="13">
        <f t="shared" si="3"/>
        <v>0</v>
      </c>
    </row>
    <row r="32" spans="1:5" ht="15.9" x14ac:dyDescent="0.45">
      <c r="A32" s="12" t="s">
        <v>51</v>
      </c>
      <c r="B32" s="12"/>
      <c r="C32" s="13">
        <v>-39060</v>
      </c>
      <c r="D32" s="13">
        <v>39060</v>
      </c>
      <c r="E32" s="13">
        <f t="shared" si="3"/>
        <v>0</v>
      </c>
    </row>
    <row r="33" spans="1:5" ht="15.9" x14ac:dyDescent="0.45">
      <c r="A33" s="12" t="s">
        <v>52</v>
      </c>
      <c r="B33" s="12"/>
      <c r="C33" s="13">
        <v>-997965</v>
      </c>
      <c r="D33" s="13">
        <v>997965</v>
      </c>
      <c r="E33" s="13">
        <f t="shared" si="3"/>
        <v>0</v>
      </c>
    </row>
    <row r="34" spans="1:5" ht="15.9" x14ac:dyDescent="0.45">
      <c r="A34" s="12" t="s">
        <v>53</v>
      </c>
      <c r="B34" s="12"/>
      <c r="C34" s="13">
        <v>-821660</v>
      </c>
      <c r="D34" s="13">
        <v>821660</v>
      </c>
      <c r="E34" s="13">
        <f t="shared" si="3"/>
        <v>0</v>
      </c>
    </row>
    <row r="35" spans="1:5" ht="15.9" x14ac:dyDescent="0.45">
      <c r="A35" s="12" t="s">
        <v>54</v>
      </c>
      <c r="B35" s="12"/>
      <c r="C35" s="13">
        <v>-941060</v>
      </c>
      <c r="D35" s="13"/>
      <c r="E35" s="13">
        <f t="shared" si="3"/>
        <v>-941060</v>
      </c>
    </row>
    <row r="36" spans="1:5" ht="15.9" x14ac:dyDescent="0.45">
      <c r="A36" s="12" t="s">
        <v>55</v>
      </c>
      <c r="B36" s="12"/>
      <c r="C36" s="13">
        <v>-877969</v>
      </c>
      <c r="D36" s="13">
        <v>877969</v>
      </c>
      <c r="E36" s="13">
        <f t="shared" si="3"/>
        <v>0</v>
      </c>
    </row>
    <row r="37" spans="1:5" ht="15.9" x14ac:dyDescent="0.45">
      <c r="A37" s="12" t="s">
        <v>56</v>
      </c>
      <c r="B37" s="12"/>
      <c r="C37" s="13">
        <v>-150000</v>
      </c>
      <c r="D37" s="13"/>
      <c r="E37" s="13">
        <f t="shared" si="3"/>
        <v>-150000</v>
      </c>
    </row>
    <row r="38" spans="1:5" ht="15.9" x14ac:dyDescent="0.45">
      <c r="A38" s="12" t="s">
        <v>57</v>
      </c>
      <c r="B38" s="12"/>
      <c r="C38" s="13">
        <v>-309834</v>
      </c>
      <c r="D38" s="13"/>
      <c r="E38" s="13">
        <f t="shared" si="3"/>
        <v>-309834</v>
      </c>
    </row>
    <row r="39" spans="1:5" ht="15.9" x14ac:dyDescent="0.45">
      <c r="A39" s="12" t="s">
        <v>58</v>
      </c>
      <c r="B39" s="12"/>
      <c r="C39" s="18">
        <f>SUM(C29:C38)</f>
        <v>-11384236</v>
      </c>
      <c r="D39" s="13"/>
      <c r="E39" s="18">
        <f>SUM(E29:E38)</f>
        <v>-1400894</v>
      </c>
    </row>
    <row r="40" spans="1:5" ht="15.9" x14ac:dyDescent="0.45">
      <c r="A40" s="12" t="s">
        <v>59</v>
      </c>
      <c r="B40" s="12"/>
      <c r="C40" s="13">
        <v>-9771548</v>
      </c>
      <c r="D40" s="13"/>
      <c r="E40" s="13">
        <f t="shared" ref="E40:E42" si="4">+D40+C40</f>
        <v>-9771548</v>
      </c>
    </row>
    <row r="41" spans="1:5" ht="15.9" x14ac:dyDescent="0.45">
      <c r="A41" s="12" t="s">
        <v>60</v>
      </c>
      <c r="B41" s="12"/>
      <c r="C41" s="13">
        <v>-245768</v>
      </c>
      <c r="D41" s="13"/>
      <c r="E41" s="13">
        <f t="shared" si="4"/>
        <v>-245768</v>
      </c>
    </row>
    <row r="42" spans="1:5" ht="15.9" x14ac:dyDescent="0.45">
      <c r="A42" s="12" t="s">
        <v>61</v>
      </c>
      <c r="B42" s="12"/>
      <c r="C42" s="13">
        <v>-2434718</v>
      </c>
      <c r="D42" s="13"/>
      <c r="E42" s="13">
        <f t="shared" si="4"/>
        <v>-2434718</v>
      </c>
    </row>
    <row r="43" spans="1:5" ht="15.9" x14ac:dyDescent="0.45">
      <c r="A43" s="12" t="s">
        <v>62</v>
      </c>
      <c r="B43" s="12"/>
      <c r="C43" s="18">
        <v>-12452034</v>
      </c>
      <c r="D43" s="13"/>
      <c r="E43" s="18">
        <v>-12452034</v>
      </c>
    </row>
    <row r="44" spans="1:5" ht="15.9" x14ac:dyDescent="0.45">
      <c r="A44" s="12" t="s">
        <v>63</v>
      </c>
      <c r="B44" s="12"/>
      <c r="C44" s="18">
        <f>+C39+C43</f>
        <v>-23836270</v>
      </c>
      <c r="D44" s="13"/>
      <c r="E44" s="18">
        <f>+E39+E43</f>
        <v>-13852928</v>
      </c>
    </row>
    <row r="45" spans="1:5" ht="15.9" x14ac:dyDescent="0.45">
      <c r="A45" s="12" t="s">
        <v>64</v>
      </c>
      <c r="B45" s="12"/>
      <c r="C45" s="13">
        <v>-6442478</v>
      </c>
      <c r="D45" s="13"/>
      <c r="E45" s="13">
        <f>+C45+D45</f>
        <v>-6442478</v>
      </c>
    </row>
    <row r="46" spans="1:5" ht="16.3" thickBot="1" x14ac:dyDescent="0.5">
      <c r="A46" s="20" t="s">
        <v>65</v>
      </c>
      <c r="B46" s="12"/>
      <c r="C46" s="21">
        <f>+C44+C45</f>
        <v>-30278748</v>
      </c>
      <c r="D46" s="31">
        <f>SUM(D29:D45)</f>
        <v>9983342</v>
      </c>
      <c r="E46" s="21">
        <f>+E44+E45</f>
        <v>-20295406</v>
      </c>
    </row>
    <row r="47" spans="1:5" ht="16.75" thickTop="1" thickBot="1" x14ac:dyDescent="0.5">
      <c r="A47" s="12"/>
      <c r="B47" s="12"/>
      <c r="C47" s="13"/>
      <c r="D47" s="13"/>
      <c r="E47" s="13"/>
    </row>
    <row r="48" spans="1:5" ht="15.9" x14ac:dyDescent="0.45">
      <c r="A48" s="12"/>
      <c r="B48" s="12"/>
      <c r="C48" s="22" t="s">
        <v>66</v>
      </c>
      <c r="D48" s="23"/>
      <c r="E48" s="24"/>
    </row>
    <row r="49" spans="1:5" ht="15.9" x14ac:dyDescent="0.45">
      <c r="A49" s="12"/>
      <c r="B49" s="12"/>
      <c r="C49" s="25" t="s">
        <v>67</v>
      </c>
      <c r="D49" s="26"/>
      <c r="E49" s="27">
        <f>-D7-D8-D9-D10</f>
        <v>8067462</v>
      </c>
    </row>
    <row r="50" spans="1:5" ht="15.9" x14ac:dyDescent="0.45">
      <c r="A50" s="12"/>
      <c r="B50" s="12"/>
      <c r="C50" s="25" t="s">
        <v>70</v>
      </c>
      <c r="D50" s="26"/>
      <c r="E50" s="27">
        <f>-D29-D30-D31-D32-D33-D34-D36</f>
        <v>-9983342</v>
      </c>
    </row>
    <row r="51" spans="1:5" ht="16.3" thickBot="1" x14ac:dyDescent="0.5">
      <c r="A51" s="12"/>
      <c r="B51" s="12"/>
      <c r="C51" s="28" t="s">
        <v>69</v>
      </c>
      <c r="D51" s="29"/>
      <c r="E51" s="30">
        <f>+E49+E50</f>
        <v>-1915880</v>
      </c>
    </row>
  </sheetData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Cash Flow</vt:lpstr>
      <vt:lpstr>District Budget</vt:lpstr>
      <vt:lpstr>Balance Sheet</vt:lpstr>
      <vt:lpstr>'Balance Sheet'!Print_Area</vt:lpstr>
      <vt:lpstr>'District Budget'!Print_Area</vt:lpstr>
      <vt:lpstr>'Cash Flow'!Print_Titles</vt:lpstr>
      <vt:lpstr>'District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Allen</dc:creator>
  <cp:lastModifiedBy>John Redding</cp:lastModifiedBy>
  <cp:lastPrinted>2021-03-21T19:12:42Z</cp:lastPrinted>
  <dcterms:created xsi:type="dcterms:W3CDTF">2019-06-18T14:08:13Z</dcterms:created>
  <dcterms:modified xsi:type="dcterms:W3CDTF">2022-06-11T23:57:53Z</dcterms:modified>
</cp:coreProperties>
</file>