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johnr\Desktop\Hospital\District Budget\"/>
    </mc:Choice>
  </mc:AlternateContent>
  <xr:revisionPtr revIDLastSave="0" documentId="8_{C5694988-490C-4D16-9DBA-3D20DE670F16}" xr6:coauthVersionLast="47" xr6:coauthVersionMax="47" xr10:uidLastSave="{00000000-0000-0000-0000-000000000000}"/>
  <bookViews>
    <workbookView xWindow="-103" yWindow="-103" windowWidth="29692" windowHeight="11829" tabRatio="967" firstSheet="2" activeTab="2" xr2:uid="{BAF118BC-0767-4ECF-9173-40C862107BCD}"/>
  </bookViews>
  <sheets>
    <sheet name="Board budget actual 1HFY22" sheetId="15" r:id="rId1"/>
    <sheet name="Board budget FY22 (2)" sheetId="14" r:id="rId2"/>
    <sheet name="District Budget FY22 updated" sheetId="11" r:id="rId3"/>
    <sheet name="10-year cash flow" sheetId="2" r:id="rId4"/>
    <sheet name="District Budget FY22" sheetId="5" r:id="rId5"/>
    <sheet name="Board budget FY22" sheetId="4" r:id="rId6"/>
    <sheet name="Act vs Bud" sheetId="10" r:id="rId7"/>
    <sheet name="Cash Assets" sheetId="7" r:id="rId8"/>
    <sheet name="Debt Service" sheetId="13" r:id="rId9"/>
    <sheet name="Loans" sheetId="12" r:id="rId10"/>
    <sheet name="Balance Sheet" sheetId="3" state="hidden" r:id="rId11"/>
  </sheets>
  <externalReferences>
    <externalReference r:id="rId12"/>
  </externalReferences>
  <definedNames>
    <definedName name="_xlnm.Print_Area" localSheetId="10">'Balance Sheet'!$A$1:$E$51</definedName>
    <definedName name="_xlnm.Print_Area" localSheetId="0">'Board budget actual 1HFY22'!$A$1:$Q$32</definedName>
    <definedName name="_xlnm.Print_Area" localSheetId="5">'Board budget FY22'!$A$1:$R$32</definedName>
    <definedName name="_xlnm.Print_Area" localSheetId="1">'Board budget FY22 (2)'!$A$1:$K$32</definedName>
    <definedName name="_xlnm.Print_Titles" localSheetId="3">'10-year cash flow'!$A:$B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2" l="1"/>
  <c r="E23" i="12"/>
  <c r="I11" i="12"/>
  <c r="N16" i="13"/>
  <c r="O9" i="13"/>
  <c r="O7" i="13"/>
  <c r="O8" i="13"/>
  <c r="G15" i="5"/>
  <c r="H54" i="2"/>
  <c r="G54" i="2"/>
  <c r="H51" i="2"/>
  <c r="G51" i="2"/>
  <c r="H52" i="2"/>
  <c r="F54" i="2"/>
  <c r="E54" i="2"/>
  <c r="M45" i="2"/>
  <c r="E51" i="2"/>
  <c r="M43" i="2" s="1"/>
  <c r="J30" i="2"/>
  <c r="B5" i="7"/>
  <c r="B8" i="10"/>
  <c r="B24" i="7"/>
  <c r="H58" i="2" l="1"/>
  <c r="L45" i="2"/>
  <c r="F45" i="2"/>
  <c r="J20" i="14"/>
  <c r="E25" i="14"/>
  <c r="F25" i="14" s="1"/>
  <c r="G25" i="14" s="1"/>
  <c r="H25" i="14" s="1"/>
  <c r="I25" i="14" s="1"/>
  <c r="E19" i="14"/>
  <c r="F19" i="14" s="1"/>
  <c r="G19" i="14" s="1"/>
  <c r="H19" i="14" s="1"/>
  <c r="I19" i="14" s="1"/>
  <c r="D21" i="14"/>
  <c r="D12" i="14"/>
  <c r="B33" i="10"/>
  <c r="D31" i="10"/>
  <c r="C31" i="10"/>
  <c r="G21" i="10"/>
  <c r="C30" i="10"/>
  <c r="D30" i="10" s="1"/>
  <c r="C29" i="10"/>
  <c r="D29" i="10" s="1"/>
  <c r="C25" i="10"/>
  <c r="B18" i="10"/>
  <c r="D26" i="10"/>
  <c r="D19" i="10"/>
  <c r="D7" i="10"/>
  <c r="B28" i="10"/>
  <c r="D28" i="10" s="1"/>
  <c r="B21" i="10"/>
  <c r="D21" i="10" s="1"/>
  <c r="B20" i="10"/>
  <c r="D20" i="10" s="1"/>
  <c r="B15" i="10"/>
  <c r="D15" i="10" s="1"/>
  <c r="C11" i="10"/>
  <c r="B11" i="10"/>
  <c r="B24" i="10"/>
  <c r="D24" i="10" s="1"/>
  <c r="B23" i="10"/>
  <c r="D23" i="10" s="1"/>
  <c r="B25" i="10"/>
  <c r="B16" i="10"/>
  <c r="D16" i="10" s="1"/>
  <c r="C14" i="10"/>
  <c r="B14" i="10"/>
  <c r="B13" i="10"/>
  <c r="D13" i="10" s="1"/>
  <c r="C12" i="10"/>
  <c r="B12" i="10"/>
  <c r="B16" i="12"/>
  <c r="B17" i="12" s="1"/>
  <c r="R16" i="11"/>
  <c r="Q16" i="11" s="1"/>
  <c r="S6" i="4"/>
  <c r="T11" i="4"/>
  <c r="B30" i="7"/>
  <c r="D41" i="2"/>
  <c r="D46" i="2" l="1"/>
  <c r="D45" i="2"/>
  <c r="B18" i="12"/>
  <c r="D12" i="10"/>
  <c r="D11" i="10"/>
  <c r="D25" i="10"/>
  <c r="B27" i="10"/>
  <c r="B32" i="10" s="1"/>
  <c r="D14" i="10"/>
  <c r="D18" i="10"/>
  <c r="O33" i="15"/>
  <c r="P26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P25" i="15" s="1"/>
  <c r="F24" i="15"/>
  <c r="P24" i="15" s="1"/>
  <c r="D23" i="15"/>
  <c r="P23" i="15" s="1"/>
  <c r="O22" i="15"/>
  <c r="N22" i="15"/>
  <c r="M22" i="15"/>
  <c r="L22" i="15"/>
  <c r="K22" i="15"/>
  <c r="J22" i="15"/>
  <c r="I22" i="15"/>
  <c r="H22" i="15"/>
  <c r="G22" i="15"/>
  <c r="F22" i="15"/>
  <c r="E22" i="15"/>
  <c r="D22" i="15"/>
  <c r="P22" i="15" s="1"/>
  <c r="D21" i="15"/>
  <c r="E21" i="15" s="1"/>
  <c r="F21" i="15" s="1"/>
  <c r="G21" i="15" s="1"/>
  <c r="H21" i="15" s="1"/>
  <c r="I21" i="15" s="1"/>
  <c r="J21" i="15" s="1"/>
  <c r="K21" i="15" s="1"/>
  <c r="L21" i="15" s="1"/>
  <c r="M21" i="15" s="1"/>
  <c r="N21" i="15" s="1"/>
  <c r="O21" i="15" s="1"/>
  <c r="P19" i="15"/>
  <c r="P18" i="15"/>
  <c r="D18" i="15"/>
  <c r="P17" i="15"/>
  <c r="D17" i="15"/>
  <c r="D16" i="15"/>
  <c r="P16" i="15" s="1"/>
  <c r="I15" i="15"/>
  <c r="P15" i="15" s="1"/>
  <c r="O14" i="15"/>
  <c r="N14" i="15"/>
  <c r="M14" i="15"/>
  <c r="L14" i="15"/>
  <c r="K14" i="15"/>
  <c r="J14" i="15"/>
  <c r="I14" i="15"/>
  <c r="H14" i="15"/>
  <c r="G14" i="15"/>
  <c r="F14" i="15"/>
  <c r="E14" i="15"/>
  <c r="D14" i="15"/>
  <c r="P14" i="15" s="1"/>
  <c r="O13" i="15"/>
  <c r="N13" i="15"/>
  <c r="M13" i="15"/>
  <c r="L13" i="15"/>
  <c r="K13" i="15"/>
  <c r="P13" i="15" s="1"/>
  <c r="J13" i="15"/>
  <c r="I13" i="15"/>
  <c r="H13" i="15"/>
  <c r="G13" i="15"/>
  <c r="F13" i="15"/>
  <c r="E13" i="15"/>
  <c r="D13" i="15"/>
  <c r="D12" i="15"/>
  <c r="D28" i="15" s="1"/>
  <c r="O11" i="15"/>
  <c r="N11" i="15"/>
  <c r="M11" i="15"/>
  <c r="L11" i="15"/>
  <c r="K11" i="15"/>
  <c r="J11" i="15"/>
  <c r="I11" i="15"/>
  <c r="H11" i="15"/>
  <c r="G11" i="15"/>
  <c r="F11" i="15"/>
  <c r="C7" i="15"/>
  <c r="B7" i="15"/>
  <c r="D7" i="15" s="1"/>
  <c r="L35" i="2"/>
  <c r="D31" i="2"/>
  <c r="D32" i="2"/>
  <c r="J26" i="14"/>
  <c r="J25" i="14"/>
  <c r="J24" i="14"/>
  <c r="J23" i="14"/>
  <c r="I22" i="14"/>
  <c r="H22" i="14"/>
  <c r="G22" i="14"/>
  <c r="F22" i="14"/>
  <c r="E22" i="14"/>
  <c r="D22" i="14"/>
  <c r="J19" i="14"/>
  <c r="J18" i="14"/>
  <c r="J17" i="14"/>
  <c r="J16" i="14"/>
  <c r="J15" i="14"/>
  <c r="I14" i="14"/>
  <c r="H14" i="14"/>
  <c r="G14" i="14"/>
  <c r="F14" i="14"/>
  <c r="E14" i="14"/>
  <c r="D14" i="14"/>
  <c r="I13" i="14"/>
  <c r="H13" i="14"/>
  <c r="G13" i="14"/>
  <c r="F13" i="14"/>
  <c r="E13" i="14"/>
  <c r="D13" i="14"/>
  <c r="I11" i="14"/>
  <c r="H11" i="14"/>
  <c r="G11" i="14"/>
  <c r="F11" i="14"/>
  <c r="E11" i="14"/>
  <c r="C7" i="14"/>
  <c r="B7" i="14"/>
  <c r="F11" i="4"/>
  <c r="G11" i="4"/>
  <c r="H11" i="4"/>
  <c r="I11" i="4"/>
  <c r="J11" i="4"/>
  <c r="B38" i="7"/>
  <c r="B39" i="7"/>
  <c r="E41" i="2"/>
  <c r="E45" i="2" s="1"/>
  <c r="E46" i="2" s="1"/>
  <c r="D42" i="2"/>
  <c r="L15" i="2"/>
  <c r="K15" i="2"/>
  <c r="J15" i="2"/>
  <c r="I15" i="2"/>
  <c r="H15" i="2"/>
  <c r="G15" i="2"/>
  <c r="F15" i="2"/>
  <c r="E15" i="2"/>
  <c r="G10" i="7"/>
  <c r="G6" i="7"/>
  <c r="B36" i="7"/>
  <c r="B15" i="7"/>
  <c r="B14" i="7"/>
  <c r="C7" i="4"/>
  <c r="B7" i="4"/>
  <c r="K7" i="13"/>
  <c r="H7" i="13"/>
  <c r="G7" i="13"/>
  <c r="C6" i="13"/>
  <c r="D6" i="13" s="1"/>
  <c r="E6" i="13" s="1"/>
  <c r="F6" i="13" s="1"/>
  <c r="G6" i="13" s="1"/>
  <c r="H6" i="13" s="1"/>
  <c r="I6" i="13" s="1"/>
  <c r="J6" i="13" s="1"/>
  <c r="K6" i="13" s="1"/>
  <c r="C4" i="13"/>
  <c r="D4" i="13" s="1"/>
  <c r="E4" i="13" s="1"/>
  <c r="E7" i="13" s="1"/>
  <c r="B3" i="13"/>
  <c r="C3" i="13" s="1"/>
  <c r="D3" i="13" s="1"/>
  <c r="D7" i="13" s="1"/>
  <c r="B5" i="13"/>
  <c r="C5" i="13" s="1"/>
  <c r="D5" i="13" s="1"/>
  <c r="E5" i="13" s="1"/>
  <c r="F5" i="13" s="1"/>
  <c r="G5" i="13" s="1"/>
  <c r="H5" i="13" s="1"/>
  <c r="I5" i="13" s="1"/>
  <c r="J5" i="13" s="1"/>
  <c r="J7" i="13" s="1"/>
  <c r="A39" i="7"/>
  <c r="A38" i="7"/>
  <c r="B37" i="7"/>
  <c r="D19" i="2"/>
  <c r="D12" i="2"/>
  <c r="D15" i="2" s="1"/>
  <c r="E2" i="13"/>
  <c r="F2" i="13" s="1"/>
  <c r="G2" i="13" s="1"/>
  <c r="H2" i="13" s="1"/>
  <c r="I2" i="13" s="1"/>
  <c r="J2" i="13" s="1"/>
  <c r="K2" i="13" s="1"/>
  <c r="L2" i="13" s="1"/>
  <c r="G13" i="12"/>
  <c r="G11" i="12"/>
  <c r="E12" i="12"/>
  <c r="E16" i="12" s="1"/>
  <c r="S8" i="11"/>
  <c r="S7" i="11"/>
  <c r="D12" i="12"/>
  <c r="F46" i="2" l="1"/>
  <c r="E42" i="2"/>
  <c r="E43" i="2" s="1"/>
  <c r="F4" i="13"/>
  <c r="F7" i="13" s="1"/>
  <c r="I7" i="13"/>
  <c r="E17" i="12"/>
  <c r="E18" i="12" s="1"/>
  <c r="J6" i="14"/>
  <c r="D7" i="14"/>
  <c r="J13" i="14"/>
  <c r="J22" i="14"/>
  <c r="J14" i="14"/>
  <c r="D43" i="2"/>
  <c r="D29" i="15"/>
  <c r="D30" i="15"/>
  <c r="E7" i="15"/>
  <c r="D8" i="15"/>
  <c r="E12" i="15"/>
  <c r="P11" i="15"/>
  <c r="P21" i="15"/>
  <c r="E21" i="14"/>
  <c r="F21" i="14" s="1"/>
  <c r="G21" i="14" s="1"/>
  <c r="H21" i="14" s="1"/>
  <c r="I21" i="14" s="1"/>
  <c r="J11" i="14"/>
  <c r="F42" i="2"/>
  <c r="G15" i="7"/>
  <c r="G16" i="7" s="1"/>
  <c r="B16" i="7"/>
  <c r="G5" i="7" s="1"/>
  <c r="B7" i="7"/>
  <c r="E7" i="14" l="1"/>
  <c r="D8" i="14"/>
  <c r="F43" i="2"/>
  <c r="E28" i="15"/>
  <c r="F12" i="15"/>
  <c r="E8" i="15"/>
  <c r="F7" i="15"/>
  <c r="D31" i="15"/>
  <c r="J21" i="14"/>
  <c r="G41" i="2"/>
  <c r="G45" i="2" s="1"/>
  <c r="G46" i="2" s="1"/>
  <c r="B31" i="7"/>
  <c r="B6" i="7"/>
  <c r="D30" i="2" s="1"/>
  <c r="G42" i="2" l="1"/>
  <c r="G43" i="2" s="1"/>
  <c r="E29" i="15"/>
  <c r="F8" i="15"/>
  <c r="G7" i="15"/>
  <c r="G12" i="15"/>
  <c r="F28" i="15"/>
  <c r="F29" i="15" s="1"/>
  <c r="H41" i="2"/>
  <c r="H45" i="2" s="1"/>
  <c r="H46" i="2" s="1"/>
  <c r="G14" i="7"/>
  <c r="G17" i="7" s="1"/>
  <c r="B8" i="7"/>
  <c r="J16" i="11"/>
  <c r="B15" i="11"/>
  <c r="E15" i="11" s="1"/>
  <c r="A10" i="2"/>
  <c r="Q17" i="11"/>
  <c r="P17" i="11" s="1"/>
  <c r="Q18" i="11"/>
  <c r="D29" i="2"/>
  <c r="B23" i="2"/>
  <c r="D23" i="2" s="1"/>
  <c r="N8" i="11"/>
  <c r="I8" i="11"/>
  <c r="D34" i="11"/>
  <c r="H42" i="2" l="1"/>
  <c r="H43" i="2" s="1"/>
  <c r="H12" i="15"/>
  <c r="G28" i="15"/>
  <c r="G8" i="15"/>
  <c r="H7" i="15"/>
  <c r="F30" i="15"/>
  <c r="E30" i="15"/>
  <c r="I41" i="2"/>
  <c r="I45" i="2" s="1"/>
  <c r="I46" i="2" s="1"/>
  <c r="B18" i="7"/>
  <c r="G4" i="7"/>
  <c r="G32" i="11"/>
  <c r="K17" i="11"/>
  <c r="O17" i="11"/>
  <c r="L17" i="11"/>
  <c r="E17" i="11"/>
  <c r="F17" i="11"/>
  <c r="G17" i="11"/>
  <c r="I16" i="11"/>
  <c r="K16" i="11"/>
  <c r="F16" i="11"/>
  <c r="E16" i="11"/>
  <c r="H17" i="11"/>
  <c r="I17" i="11"/>
  <c r="L16" i="11"/>
  <c r="J17" i="11"/>
  <c r="M16" i="11"/>
  <c r="M17" i="11"/>
  <c r="G16" i="11"/>
  <c r="N17" i="11"/>
  <c r="H16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P15" i="11"/>
  <c r="O15" i="11"/>
  <c r="N15" i="11"/>
  <c r="M15" i="11"/>
  <c r="L15" i="11"/>
  <c r="K15" i="11"/>
  <c r="J15" i="11"/>
  <c r="I15" i="11"/>
  <c r="H15" i="11"/>
  <c r="G15" i="11"/>
  <c r="F15" i="11"/>
  <c r="E14" i="11"/>
  <c r="B10" i="11"/>
  <c r="F10" i="11" s="1"/>
  <c r="F11" i="11" s="1"/>
  <c r="Q8" i="11"/>
  <c r="Q7" i="11"/>
  <c r="D5" i="2" s="1"/>
  <c r="I42" i="2" l="1"/>
  <c r="I43" i="2" s="1"/>
  <c r="I12" i="15"/>
  <c r="H28" i="15"/>
  <c r="H29" i="15" s="1"/>
  <c r="E31" i="15"/>
  <c r="F31" i="15" s="1"/>
  <c r="H8" i="15"/>
  <c r="I7" i="15"/>
  <c r="G29" i="15"/>
  <c r="J41" i="2"/>
  <c r="J45" i="2" s="1"/>
  <c r="J46" i="2" s="1"/>
  <c r="G7" i="7"/>
  <c r="G11" i="7" s="1"/>
  <c r="G19" i="7" s="1"/>
  <c r="E5" i="2"/>
  <c r="R17" i="11"/>
  <c r="Q15" i="11"/>
  <c r="R18" i="11"/>
  <c r="R15" i="11"/>
  <c r="D6" i="2"/>
  <c r="E6" i="2" s="1"/>
  <c r="F6" i="2" s="1"/>
  <c r="G6" i="2" s="1"/>
  <c r="H6" i="2" s="1"/>
  <c r="I6" i="2" s="1"/>
  <c r="J6" i="2" s="1"/>
  <c r="K6" i="2" s="1"/>
  <c r="L6" i="2" s="1"/>
  <c r="H10" i="11"/>
  <c r="H11" i="11" s="1"/>
  <c r="O20" i="11"/>
  <c r="Q19" i="11"/>
  <c r="P20" i="11"/>
  <c r="J10" i="11"/>
  <c r="J11" i="11" s="1"/>
  <c r="N20" i="11"/>
  <c r="Q6" i="11"/>
  <c r="I10" i="11"/>
  <c r="I11" i="11" s="1"/>
  <c r="K10" i="11"/>
  <c r="K11" i="11" s="1"/>
  <c r="G10" i="11"/>
  <c r="G11" i="11" s="1"/>
  <c r="K14" i="11"/>
  <c r="L10" i="11"/>
  <c r="L11" i="11" s="1"/>
  <c r="M10" i="11"/>
  <c r="M11" i="11" s="1"/>
  <c r="N10" i="11"/>
  <c r="N11" i="11" s="1"/>
  <c r="O10" i="11"/>
  <c r="O11" i="11" s="1"/>
  <c r="P10" i="11"/>
  <c r="P11" i="11" s="1"/>
  <c r="E10" i="11"/>
  <c r="J42" i="2" l="1"/>
  <c r="J43" i="2" s="1"/>
  <c r="G30" i="15"/>
  <c r="H30" i="15"/>
  <c r="I8" i="15"/>
  <c r="J7" i="15"/>
  <c r="J12" i="15"/>
  <c r="I28" i="15"/>
  <c r="I29" i="15" s="1"/>
  <c r="K41" i="2"/>
  <c r="K45" i="2" s="1"/>
  <c r="F5" i="2"/>
  <c r="D8" i="2"/>
  <c r="Q14" i="11"/>
  <c r="P22" i="11"/>
  <c r="N22" i="11"/>
  <c r="O22" i="11"/>
  <c r="Q10" i="11"/>
  <c r="E11" i="11"/>
  <c r="K46" i="2" l="1"/>
  <c r="L46" i="2"/>
  <c r="K42" i="2"/>
  <c r="K43" i="2" s="1"/>
  <c r="K12" i="15"/>
  <c r="J28" i="15"/>
  <c r="J29" i="15" s="1"/>
  <c r="G31" i="15"/>
  <c r="H31" i="15" s="1"/>
  <c r="I30" i="15"/>
  <c r="J8" i="15"/>
  <c r="K7" i="15"/>
  <c r="J30" i="15"/>
  <c r="E12" i="14"/>
  <c r="D28" i="14"/>
  <c r="L40" i="2"/>
  <c r="G5" i="2"/>
  <c r="R11" i="11"/>
  <c r="D24" i="2"/>
  <c r="Q11" i="11"/>
  <c r="M13" i="2"/>
  <c r="O33" i="4"/>
  <c r="C17" i="10"/>
  <c r="C22" i="10"/>
  <c r="D22" i="10" s="1"/>
  <c r="C6" i="10"/>
  <c r="A33" i="10"/>
  <c r="A32" i="10"/>
  <c r="A28" i="10"/>
  <c r="A27" i="10"/>
  <c r="A26" i="10"/>
  <c r="A25" i="10"/>
  <c r="A24" i="10"/>
  <c r="A23" i="10"/>
  <c r="A22" i="10"/>
  <c r="A21" i="10"/>
  <c r="A20" i="10"/>
  <c r="A19" i="10"/>
  <c r="A18" i="10"/>
  <c r="A15" i="10"/>
  <c r="A14" i="10"/>
  <c r="A13" i="10"/>
  <c r="A12" i="10"/>
  <c r="A11" i="10"/>
  <c r="A10" i="10"/>
  <c r="A8" i="10"/>
  <c r="A7" i="10"/>
  <c r="A6" i="10"/>
  <c r="A5" i="10"/>
  <c r="A3" i="10"/>
  <c r="D12" i="4"/>
  <c r="E12" i="4" s="1"/>
  <c r="D29" i="14" l="1"/>
  <c r="D30" i="14" s="1"/>
  <c r="L42" i="2"/>
  <c r="L43" i="2" s="1"/>
  <c r="C27" i="10"/>
  <c r="D17" i="10"/>
  <c r="C8" i="10"/>
  <c r="D6" i="10"/>
  <c r="K8" i="15"/>
  <c r="L7" i="15"/>
  <c r="L12" i="15"/>
  <c r="K28" i="15"/>
  <c r="K29" i="15" s="1"/>
  <c r="I31" i="15"/>
  <c r="J31" i="15" s="1"/>
  <c r="E8" i="14"/>
  <c r="F7" i="14"/>
  <c r="F12" i="14"/>
  <c r="E28" i="14"/>
  <c r="E29" i="14" s="1"/>
  <c r="H5" i="2"/>
  <c r="O14" i="4"/>
  <c r="N14" i="4"/>
  <c r="M14" i="4"/>
  <c r="L14" i="4"/>
  <c r="K14" i="4"/>
  <c r="J14" i="4"/>
  <c r="I14" i="4"/>
  <c r="H14" i="4"/>
  <c r="G14" i="4"/>
  <c r="F14" i="4"/>
  <c r="E14" i="4"/>
  <c r="D14" i="4"/>
  <c r="O11" i="4"/>
  <c r="N11" i="4"/>
  <c r="M11" i="4"/>
  <c r="L11" i="4"/>
  <c r="K11" i="4"/>
  <c r="O13" i="4"/>
  <c r="N13" i="4"/>
  <c r="M13" i="4"/>
  <c r="L13" i="4"/>
  <c r="K13" i="4"/>
  <c r="J13" i="4"/>
  <c r="I13" i="4"/>
  <c r="H13" i="4"/>
  <c r="G13" i="4"/>
  <c r="F13" i="4"/>
  <c r="E13" i="4"/>
  <c r="D13" i="4"/>
  <c r="D17" i="4"/>
  <c r="F24" i="4"/>
  <c r="P24" i="4" s="1"/>
  <c r="I15" i="4"/>
  <c r="P15" i="4" s="1"/>
  <c r="D23" i="4"/>
  <c r="D18" i="4"/>
  <c r="P18" i="4" s="1"/>
  <c r="D27" i="10" l="1"/>
  <c r="C33" i="10"/>
  <c r="C32" i="10"/>
  <c r="D8" i="10"/>
  <c r="M12" i="15"/>
  <c r="L28" i="15"/>
  <c r="L29" i="15" s="1"/>
  <c r="K30" i="15"/>
  <c r="L8" i="15"/>
  <c r="M7" i="15"/>
  <c r="L30" i="15"/>
  <c r="G12" i="14"/>
  <c r="F28" i="14"/>
  <c r="F29" i="14" s="1"/>
  <c r="E30" i="14"/>
  <c r="F8" i="14"/>
  <c r="G7" i="14"/>
  <c r="I5" i="2"/>
  <c r="H8" i="2"/>
  <c r="P11" i="4"/>
  <c r="P13" i="4"/>
  <c r="P26" i="4"/>
  <c r="P14" i="4"/>
  <c r="D16" i="4"/>
  <c r="D31" i="14" l="1"/>
  <c r="E31" i="14" s="1"/>
  <c r="D33" i="10"/>
  <c r="F30" i="14"/>
  <c r="D32" i="10"/>
  <c r="K31" i="15"/>
  <c r="L31" i="15" s="1"/>
  <c r="M8" i="15"/>
  <c r="N7" i="15"/>
  <c r="N12" i="15"/>
  <c r="M28" i="15"/>
  <c r="M29" i="15" s="1"/>
  <c r="G8" i="14"/>
  <c r="H7" i="14"/>
  <c r="H12" i="14"/>
  <c r="G28" i="14"/>
  <c r="G29" i="14" s="1"/>
  <c r="J5" i="2"/>
  <c r="F31" i="14" l="1"/>
  <c r="O12" i="15"/>
  <c r="N28" i="15"/>
  <c r="N29" i="15" s="1"/>
  <c r="M30" i="15"/>
  <c r="M31" i="15" s="1"/>
  <c r="N31" i="15" s="1"/>
  <c r="O7" i="15"/>
  <c r="N30" i="15"/>
  <c r="N8" i="15"/>
  <c r="I12" i="14"/>
  <c r="H28" i="14"/>
  <c r="H29" i="14" s="1"/>
  <c r="H30" i="14" s="1"/>
  <c r="G30" i="14"/>
  <c r="H8" i="14"/>
  <c r="I7" i="14"/>
  <c r="K5" i="2"/>
  <c r="G31" i="14" l="1"/>
  <c r="H31" i="14" s="1"/>
  <c r="O8" i="15"/>
  <c r="P8" i="15" s="1"/>
  <c r="P7" i="15"/>
  <c r="O28" i="15"/>
  <c r="P12" i="15"/>
  <c r="I8" i="14"/>
  <c r="J8" i="14" s="1"/>
  <c r="J7" i="14"/>
  <c r="I28" i="14"/>
  <c r="J12" i="14"/>
  <c r="L5" i="2"/>
  <c r="P23" i="4"/>
  <c r="O25" i="4"/>
  <c r="N25" i="4"/>
  <c r="M25" i="4"/>
  <c r="L25" i="4"/>
  <c r="K25" i="4"/>
  <c r="J25" i="4"/>
  <c r="I25" i="4"/>
  <c r="H25" i="4"/>
  <c r="G25" i="4"/>
  <c r="F25" i="4"/>
  <c r="E25" i="4"/>
  <c r="D25" i="4"/>
  <c r="O22" i="4"/>
  <c r="N22" i="4"/>
  <c r="M22" i="4"/>
  <c r="L22" i="4"/>
  <c r="K22" i="4"/>
  <c r="J22" i="4"/>
  <c r="I22" i="4"/>
  <c r="H22" i="4"/>
  <c r="G22" i="4"/>
  <c r="F22" i="4"/>
  <c r="E22" i="4"/>
  <c r="D22" i="4"/>
  <c r="D21" i="4"/>
  <c r="E21" i="4" s="1"/>
  <c r="F21" i="4" s="1"/>
  <c r="G21" i="4" s="1"/>
  <c r="H21" i="4" s="1"/>
  <c r="I21" i="4" s="1"/>
  <c r="J21" i="4" s="1"/>
  <c r="K21" i="4" s="1"/>
  <c r="L21" i="4" s="1"/>
  <c r="M21" i="4" s="1"/>
  <c r="N21" i="4" s="1"/>
  <c r="O21" i="4" s="1"/>
  <c r="O29" i="15" l="1"/>
  <c r="P29" i="15" s="1"/>
  <c r="O34" i="15" s="1"/>
  <c r="P28" i="15"/>
  <c r="O30" i="15"/>
  <c r="I29" i="14"/>
  <c r="J29" i="14" s="1"/>
  <c r="J28" i="14"/>
  <c r="P25" i="4"/>
  <c r="P22" i="4"/>
  <c r="P21" i="4"/>
  <c r="I30" i="14" l="1"/>
  <c r="J30" i="14" s="1"/>
  <c r="P30" i="15"/>
  <c r="O31" i="15"/>
  <c r="O35" i="15" s="1"/>
  <c r="P19" i="4"/>
  <c r="I31" i="14" l="1"/>
  <c r="J31" i="14" s="1"/>
  <c r="D34" i="14" s="1"/>
  <c r="D28" i="4"/>
  <c r="P17" i="4"/>
  <c r="P16" i="4"/>
  <c r="D7" i="4"/>
  <c r="S9" i="5"/>
  <c r="S8" i="5"/>
  <c r="E1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E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D18" i="5"/>
  <c r="F17" i="5"/>
  <c r="E17" i="5"/>
  <c r="D17" i="5"/>
  <c r="R16" i="5"/>
  <c r="Q16" i="5"/>
  <c r="P16" i="5"/>
  <c r="O16" i="5"/>
  <c r="N16" i="5"/>
  <c r="M16" i="5"/>
  <c r="L16" i="5"/>
  <c r="K16" i="5"/>
  <c r="J16" i="5"/>
  <c r="I16" i="5"/>
  <c r="H16" i="5"/>
  <c r="G16" i="5"/>
  <c r="S10" i="5"/>
  <c r="B11" i="5"/>
  <c r="P11" i="5" s="1"/>
  <c r="M7" i="5"/>
  <c r="S7" i="5" s="1"/>
  <c r="E7" i="2"/>
  <c r="I7" i="2"/>
  <c r="I8" i="2" s="1"/>
  <c r="E10" i="2"/>
  <c r="E8" i="2" l="1"/>
  <c r="D29" i="4"/>
  <c r="E7" i="4"/>
  <c r="E8" i="4" s="1"/>
  <c r="D8" i="4"/>
  <c r="M15" i="5"/>
  <c r="S15" i="5" s="1"/>
  <c r="F12" i="4"/>
  <c r="G12" i="4" s="1"/>
  <c r="H12" i="4" s="1"/>
  <c r="I12" i="4" s="1"/>
  <c r="J12" i="4" s="1"/>
  <c r="K12" i="4" s="1"/>
  <c r="L12" i="4" s="1"/>
  <c r="M12" i="4" s="1"/>
  <c r="N12" i="4" s="1"/>
  <c r="O12" i="4" s="1"/>
  <c r="E21" i="5"/>
  <c r="D21" i="5"/>
  <c r="P12" i="5"/>
  <c r="S20" i="5"/>
  <c r="F21" i="5"/>
  <c r="S16" i="5"/>
  <c r="F11" i="5"/>
  <c r="F12" i="5" s="1"/>
  <c r="R11" i="5"/>
  <c r="R12" i="5" s="1"/>
  <c r="E11" i="5"/>
  <c r="E12" i="5" s="1"/>
  <c r="Q11" i="5"/>
  <c r="Q12" i="5" s="1"/>
  <c r="G11" i="5"/>
  <c r="G12" i="5" s="1"/>
  <c r="H11" i="5"/>
  <c r="H12" i="5" s="1"/>
  <c r="I11" i="5"/>
  <c r="I12" i="5" s="1"/>
  <c r="J11" i="5"/>
  <c r="J12" i="5" s="1"/>
  <c r="K11" i="5"/>
  <c r="K12" i="5" s="1"/>
  <c r="L11" i="5"/>
  <c r="L12" i="5" s="1"/>
  <c r="M11" i="5"/>
  <c r="M12" i="5" s="1"/>
  <c r="S18" i="5"/>
  <c r="N11" i="5"/>
  <c r="N12" i="5" s="1"/>
  <c r="O11" i="5"/>
  <c r="O12" i="5" s="1"/>
  <c r="D11" i="5"/>
  <c r="D12" i="5" s="1"/>
  <c r="S19" i="5"/>
  <c r="E16" i="2"/>
  <c r="F10" i="2"/>
  <c r="F7" i="2"/>
  <c r="F8" i="2" s="1"/>
  <c r="J7" i="2"/>
  <c r="J8" i="2" s="1"/>
  <c r="G7" i="2" l="1"/>
  <c r="G8" i="2" s="1"/>
  <c r="P9" i="2"/>
  <c r="E28" i="4"/>
  <c r="F28" i="4"/>
  <c r="F29" i="4" s="1"/>
  <c r="D30" i="4"/>
  <c r="D31" i="4" s="1"/>
  <c r="G28" i="4"/>
  <c r="S12" i="5"/>
  <c r="F7" i="4"/>
  <c r="P12" i="4"/>
  <c r="D23" i="5"/>
  <c r="D24" i="5" s="1"/>
  <c r="F23" i="5"/>
  <c r="E23" i="5"/>
  <c r="S11" i="5"/>
  <c r="T12" i="5" s="1"/>
  <c r="K7" i="2"/>
  <c r="F16" i="2"/>
  <c r="G10" i="2"/>
  <c r="M7" i="2" l="1"/>
  <c r="L7" i="2"/>
  <c r="L8" i="2" s="1"/>
  <c r="K8" i="2"/>
  <c r="F30" i="4"/>
  <c r="H28" i="4"/>
  <c r="G29" i="4"/>
  <c r="F8" i="4"/>
  <c r="E29" i="4"/>
  <c r="G7" i="4"/>
  <c r="H7" i="4" s="1"/>
  <c r="H8" i="4" s="1"/>
  <c r="E24" i="5"/>
  <c r="F24" i="5" s="1"/>
  <c r="E23" i="2"/>
  <c r="E24" i="2" s="1"/>
  <c r="H10" i="2"/>
  <c r="G16" i="2"/>
  <c r="F23" i="2" l="1"/>
  <c r="F24" i="2" s="1"/>
  <c r="G30" i="4"/>
  <c r="E30" i="4"/>
  <c r="I28" i="4"/>
  <c r="G8" i="4"/>
  <c r="I7" i="4"/>
  <c r="J7" i="4" s="1"/>
  <c r="H16" i="2"/>
  <c r="I10" i="2"/>
  <c r="G23" i="2" l="1"/>
  <c r="G24" i="2" s="1"/>
  <c r="E31" i="4"/>
  <c r="F31" i="4" s="1"/>
  <c r="G31" i="4" s="1"/>
  <c r="H29" i="4"/>
  <c r="J28" i="4"/>
  <c r="I29" i="4"/>
  <c r="I30" i="4" s="1"/>
  <c r="J8" i="4"/>
  <c r="K7" i="4"/>
  <c r="L7" i="4" s="1"/>
  <c r="I8" i="4"/>
  <c r="P21" i="5"/>
  <c r="P23" i="5" s="1"/>
  <c r="R21" i="5"/>
  <c r="R23" i="5" s="1"/>
  <c r="I16" i="2"/>
  <c r="J10" i="2"/>
  <c r="H23" i="2" l="1"/>
  <c r="H24" i="2" s="1"/>
  <c r="H30" i="4"/>
  <c r="H31" i="4" s="1"/>
  <c r="I31" i="4" s="1"/>
  <c r="K8" i="4"/>
  <c r="K28" i="4"/>
  <c r="J29" i="4"/>
  <c r="J30" i="4" s="1"/>
  <c r="M7" i="4"/>
  <c r="L8" i="4"/>
  <c r="Q21" i="5"/>
  <c r="Q23" i="5" s="1"/>
  <c r="K10" i="2"/>
  <c r="J16" i="2"/>
  <c r="I23" i="2" l="1"/>
  <c r="I24" i="2" s="1"/>
  <c r="L28" i="4"/>
  <c r="J31" i="4"/>
  <c r="N7" i="4"/>
  <c r="M8" i="4"/>
  <c r="L10" i="2"/>
  <c r="K16" i="2"/>
  <c r="E49" i="3"/>
  <c r="L16" i="2" l="1"/>
  <c r="M10" i="2"/>
  <c r="J23" i="2"/>
  <c r="J24" i="2" s="1"/>
  <c r="K29" i="4"/>
  <c r="M28" i="4"/>
  <c r="L29" i="4"/>
  <c r="L30" i="4" s="1"/>
  <c r="O7" i="4"/>
  <c r="N8" i="4"/>
  <c r="D46" i="3"/>
  <c r="E50" i="3"/>
  <c r="E45" i="3"/>
  <c r="E42" i="3"/>
  <c r="E41" i="3"/>
  <c r="E40" i="3"/>
  <c r="C39" i="3"/>
  <c r="C44" i="3" s="1"/>
  <c r="C46" i="3" s="1"/>
  <c r="E38" i="3"/>
  <c r="E37" i="3"/>
  <c r="E36" i="3"/>
  <c r="E35" i="3"/>
  <c r="E34" i="3"/>
  <c r="E33" i="3"/>
  <c r="E32" i="3"/>
  <c r="E31" i="3"/>
  <c r="E30" i="3"/>
  <c r="E29" i="3"/>
  <c r="C24" i="3"/>
  <c r="C26" i="3" s="1"/>
  <c r="E23" i="3"/>
  <c r="E22" i="3"/>
  <c r="E21" i="3"/>
  <c r="E20" i="3"/>
  <c r="E19" i="3"/>
  <c r="E18" i="3"/>
  <c r="C16" i="3"/>
  <c r="E15" i="3"/>
  <c r="E14" i="3"/>
  <c r="E13" i="3"/>
  <c r="E10" i="3"/>
  <c r="E9" i="3"/>
  <c r="E8" i="3"/>
  <c r="C7" i="3"/>
  <c r="E7" i="3" s="1"/>
  <c r="E6" i="3"/>
  <c r="K23" i="2" l="1"/>
  <c r="K24" i="2" s="1"/>
  <c r="K30" i="4"/>
  <c r="K31" i="4" s="1"/>
  <c r="L31" i="4" s="1"/>
  <c r="N28" i="4"/>
  <c r="M29" i="4"/>
  <c r="M30" i="4" s="1"/>
  <c r="O8" i="4"/>
  <c r="P8" i="4" s="1"/>
  <c r="P7" i="4"/>
  <c r="C11" i="3"/>
  <c r="C27" i="3" s="1"/>
  <c r="E24" i="3"/>
  <c r="E26" i="3" s="1"/>
  <c r="E39" i="3"/>
  <c r="E44" i="3" s="1"/>
  <c r="E46" i="3" s="1"/>
  <c r="L23" i="2" l="1"/>
  <c r="L24" i="2" s="1"/>
  <c r="O28" i="4"/>
  <c r="N29" i="4"/>
  <c r="N30" i="4" s="1"/>
  <c r="M31" i="4"/>
  <c r="E5" i="3"/>
  <c r="E11" i="3" s="1"/>
  <c r="O29" i="4" l="1"/>
  <c r="P28" i="4"/>
  <c r="N31" i="4"/>
  <c r="O30" i="4" l="1"/>
  <c r="P30" i="4" s="1"/>
  <c r="P29" i="4"/>
  <c r="O34" i="4" s="1"/>
  <c r="E51" i="3"/>
  <c r="D12" i="3" s="1"/>
  <c r="O31" i="4" l="1"/>
  <c r="O35" i="4" s="1"/>
  <c r="E12" i="3"/>
  <c r="E16" i="3" s="1"/>
  <c r="E27" i="3" s="1"/>
  <c r="D27" i="3"/>
  <c r="H17" i="5" l="1"/>
  <c r="H21" i="5" s="1"/>
  <c r="I17" i="5"/>
  <c r="I21" i="5" s="1"/>
  <c r="I23" i="5" s="1"/>
  <c r="J17" i="5"/>
  <c r="J21" i="5" s="1"/>
  <c r="J23" i="5" s="1"/>
  <c r="K17" i="5"/>
  <c r="K21" i="5" s="1"/>
  <c r="K23" i="5" s="1"/>
  <c r="L17" i="5"/>
  <c r="L21" i="5" s="1"/>
  <c r="L23" i="5" s="1"/>
  <c r="M17" i="5"/>
  <c r="M21" i="5" s="1"/>
  <c r="M23" i="5" s="1"/>
  <c r="N17" i="5"/>
  <c r="N21" i="5" s="1"/>
  <c r="N23" i="5" s="1"/>
  <c r="O17" i="5"/>
  <c r="O21" i="5" s="1"/>
  <c r="O23" i="5" s="1"/>
  <c r="D16" i="2"/>
  <c r="G20" i="11"/>
  <c r="G22" i="11" s="1"/>
  <c r="H20" i="11"/>
  <c r="H22" i="11" s="1"/>
  <c r="I20" i="11"/>
  <c r="I22" i="11" s="1"/>
  <c r="J20" i="11"/>
  <c r="J22" i="11" s="1"/>
  <c r="K20" i="11"/>
  <c r="K22" i="11" s="1"/>
  <c r="L20" i="11"/>
  <c r="L22" i="11" s="1"/>
  <c r="M20" i="11"/>
  <c r="M22" i="11" s="1"/>
  <c r="G17" i="5"/>
  <c r="G21" i="5" s="1"/>
  <c r="G23" i="5" s="1"/>
  <c r="F20" i="11"/>
  <c r="F22" i="11" s="1"/>
  <c r="E20" i="11"/>
  <c r="E22" i="11" s="1"/>
  <c r="R20" i="11" l="1"/>
  <c r="R22" i="11" s="1"/>
  <c r="S17" i="5"/>
  <c r="T21" i="5" s="1"/>
  <c r="T23" i="5" s="1"/>
  <c r="Q22" i="11"/>
  <c r="E23" i="11"/>
  <c r="F23" i="11" s="1"/>
  <c r="G23" i="11" s="1"/>
  <c r="H23" i="11" s="1"/>
  <c r="I23" i="11" s="1"/>
  <c r="J23" i="11" s="1"/>
  <c r="K23" i="11" s="1"/>
  <c r="L23" i="11" s="1"/>
  <c r="M23" i="11" s="1"/>
  <c r="N23" i="11" s="1"/>
  <c r="O23" i="11" s="1"/>
  <c r="P23" i="11" s="1"/>
  <c r="Q23" i="11" s="1"/>
  <c r="F27" i="11" s="1"/>
  <c r="D28" i="2" s="1"/>
  <c r="Q20" i="11"/>
  <c r="G24" i="5"/>
  <c r="S21" i="5"/>
  <c r="H23" i="5"/>
  <c r="G30" i="11" l="1"/>
  <c r="G33" i="11" s="1"/>
  <c r="B33" i="7"/>
  <c r="B41" i="7" s="1"/>
  <c r="B43" i="7" s="1"/>
  <c r="H24" i="5"/>
  <c r="I24" i="5" s="1"/>
  <c r="J24" i="5" s="1"/>
  <c r="K24" i="5" s="1"/>
  <c r="L24" i="5" s="1"/>
  <c r="M24" i="5" s="1"/>
  <c r="N24" i="5" s="1"/>
  <c r="O24" i="5" s="1"/>
  <c r="P24" i="5" s="1"/>
  <c r="Q24" i="5" s="1"/>
  <c r="R24" i="5" s="1"/>
  <c r="S24" i="5" s="1"/>
  <c r="S23" i="5"/>
  <c r="D33" i="2" l="1"/>
  <c r="D34" i="2" s="1"/>
  <c r="D17" i="2"/>
  <c r="D20" i="2" s="1"/>
  <c r="K17" i="2"/>
  <c r="K20" i="2" s="1"/>
  <c r="H17" i="2"/>
  <c r="H20" i="2" s="1"/>
  <c r="F17" i="2"/>
  <c r="F20" i="2" s="1"/>
  <c r="L17" i="2"/>
  <c r="L20" i="2" s="1"/>
  <c r="I17" i="2"/>
  <c r="I20" i="2" s="1"/>
  <c r="G17" i="2"/>
  <c r="G20" i="2" s="1"/>
  <c r="J17" i="2"/>
  <c r="J20" i="2" s="1"/>
  <c r="E17" i="2"/>
  <c r="E20" i="2" s="1"/>
  <c r="E28" i="2" s="1"/>
  <c r="F28" i="2" l="1"/>
  <c r="G28" i="2" s="1"/>
  <c r="H28" i="2" s="1"/>
  <c r="I28" i="2" s="1"/>
  <c r="J28" i="2" s="1"/>
  <c r="K28" i="2" s="1"/>
  <c r="L28" i="2" s="1"/>
  <c r="P8" i="2"/>
  <c r="D44" i="2" l="1"/>
  <c r="E44" i="2" s="1"/>
  <c r="F44" i="2" s="1"/>
  <c r="G44" i="2" s="1"/>
  <c r="H44" i="2" s="1"/>
  <c r="I44" i="2" s="1"/>
  <c r="J44" i="2" s="1"/>
  <c r="K44" i="2" s="1"/>
  <c r="L44" i="2" s="1"/>
  <c r="L48" i="2" s="1"/>
  <c r="L51" i="2" s="1"/>
  <c r="E34" i="2"/>
  <c r="F34" i="2" s="1"/>
  <c r="G34" i="2" s="1"/>
  <c r="H34" i="2" s="1"/>
  <c r="I34" i="2" s="1"/>
  <c r="J34" i="2" s="1"/>
  <c r="K34" i="2" s="1"/>
  <c r="L34" i="2" s="1"/>
  <c r="G52" i="2" l="1"/>
  <c r="F52" i="2"/>
  <c r="F58" i="2" s="1"/>
  <c r="E52" i="2"/>
  <c r="E58" i="2" s="1"/>
  <c r="D47" i="2"/>
  <c r="E47" i="2" s="1"/>
  <c r="F47" i="2" s="1"/>
  <c r="G47" i="2" s="1"/>
  <c r="H47" i="2" s="1"/>
  <c r="I47" i="2" s="1"/>
  <c r="J47" i="2" s="1"/>
  <c r="K47" i="2" s="1"/>
  <c r="L47" i="2" s="1"/>
  <c r="G58" i="2" l="1"/>
</calcChain>
</file>

<file path=xl/sharedStrings.xml><?xml version="1.0" encoding="utf-8"?>
<sst xmlns="http://schemas.openxmlformats.org/spreadsheetml/2006/main" count="498" uniqueCount="290">
  <si>
    <t>Mendocino Coast District Hospital</t>
  </si>
  <si>
    <t>Sources of Cash:</t>
  </si>
  <si>
    <t>Statement of Annual Projected Cash Flow</t>
  </si>
  <si>
    <t>Uses of Cash:</t>
  </si>
  <si>
    <t>Total Sources</t>
  </si>
  <si>
    <t>Total Uses</t>
  </si>
  <si>
    <t>District Tax Receipts</t>
  </si>
  <si>
    <t>September 30, 2019</t>
  </si>
  <si>
    <t>Changes</t>
  </si>
  <si>
    <t>Operating Cash</t>
  </si>
  <si>
    <t>Parcel Tax Revenue Account</t>
  </si>
  <si>
    <t>Net Patient Receivables (75% reserved)</t>
  </si>
  <si>
    <t>Estimate Third-Party Payer Settlement</t>
  </si>
  <si>
    <t>Pledges and Receivables</t>
  </si>
  <si>
    <t>Inventory</t>
  </si>
  <si>
    <t>Total Current Assets</t>
  </si>
  <si>
    <t>Board designated</t>
  </si>
  <si>
    <t>Plan Fund</t>
  </si>
  <si>
    <t>Bonds</t>
  </si>
  <si>
    <t>Bond Costs</t>
  </si>
  <si>
    <t>Total Long Term Assets</t>
  </si>
  <si>
    <t>Property Plant and Equipment:</t>
  </si>
  <si>
    <t>Land</t>
  </si>
  <si>
    <t>Land Improvements</t>
  </si>
  <si>
    <t>Buildings and Improvements</t>
  </si>
  <si>
    <t>Leasehold Improvements</t>
  </si>
  <si>
    <t>Equipment</t>
  </si>
  <si>
    <t>Construction-In-Progress</t>
  </si>
  <si>
    <t>Total Property, Plant &amp; Equipment</t>
  </si>
  <si>
    <t>Less Accumulated Depreciation</t>
  </si>
  <si>
    <t>Net Property, Plant &amp; Equipment</t>
  </si>
  <si>
    <t>TOTAL ASSETS</t>
  </si>
  <si>
    <t>Accounts Payable</t>
  </si>
  <si>
    <t>Accrued Payroll</t>
  </si>
  <si>
    <t>Accrued Vacation, Holiday &amp; Sick Pay</t>
  </si>
  <si>
    <t>Payroll Taxes</t>
  </si>
  <si>
    <t>Estimated Third-Party Payer Settlement</t>
  </si>
  <si>
    <t>Other Current Liabilities</t>
  </si>
  <si>
    <t>Interest Payable</t>
  </si>
  <si>
    <t>Previous FY Pension Payable</t>
  </si>
  <si>
    <t>Notes &amp; Loans Payable-Banks</t>
  </si>
  <si>
    <t>Other Notes &amp; Loans Payable</t>
  </si>
  <si>
    <t>Total Current Liabilities</t>
  </si>
  <si>
    <t>Bond Payable</t>
  </si>
  <si>
    <t>Pension Payable Current FY</t>
  </si>
  <si>
    <t>Other Non-Current Liabilities</t>
  </si>
  <si>
    <t>Total Long Term Liabilities</t>
  </si>
  <si>
    <t>Total Liabilities</t>
  </si>
  <si>
    <t>Fund Balance</t>
  </si>
  <si>
    <t>TOTAL LIABILITIES &amp; FUND BALANCE</t>
  </si>
  <si>
    <t>Cash:</t>
  </si>
  <si>
    <t>Additions</t>
  </si>
  <si>
    <t>Balance Sheet (Post Affiliation)</t>
  </si>
  <si>
    <t>Net Reductions</t>
  </si>
  <si>
    <t>Reductions</t>
  </si>
  <si>
    <t>Stand Alone</t>
  </si>
  <si>
    <t xml:space="preserve">AH Lease Payment </t>
  </si>
  <si>
    <t>Less Distributions:</t>
  </si>
  <si>
    <t>Cash Available for Distribution</t>
  </si>
  <si>
    <t>Restricted Capital Fund</t>
  </si>
  <si>
    <t xml:space="preserve">Restricted Capital Fund- Cumulative Cash </t>
  </si>
  <si>
    <t>Utilities</t>
  </si>
  <si>
    <t>FY-28</t>
  </si>
  <si>
    <t>FY-29</t>
  </si>
  <si>
    <t>FY-30</t>
  </si>
  <si>
    <t>FY-23</t>
  </si>
  <si>
    <t>FY-22</t>
  </si>
  <si>
    <t>FYE-27</t>
  </si>
  <si>
    <t>LAIF Dividends</t>
  </si>
  <si>
    <t>District Operating Cash (includes LAIF dividends)</t>
  </si>
  <si>
    <t>Cash Flow  by Month</t>
  </si>
  <si>
    <t>May</t>
  </si>
  <si>
    <t>June</t>
  </si>
  <si>
    <t>July</t>
  </si>
  <si>
    <t>Receipts</t>
  </si>
  <si>
    <t>Measure C</t>
  </si>
  <si>
    <t>Nov.</t>
  </si>
  <si>
    <t>Dec.</t>
  </si>
  <si>
    <t>Oct.</t>
  </si>
  <si>
    <t>Aug.</t>
  </si>
  <si>
    <t>Sept.</t>
  </si>
  <si>
    <t>Jan.</t>
  </si>
  <si>
    <t>Feb.</t>
  </si>
  <si>
    <t>Mar.</t>
  </si>
  <si>
    <t>Apr.</t>
  </si>
  <si>
    <t>Notes</t>
  </si>
  <si>
    <t>Tax Subsidies for GO Bonds</t>
  </si>
  <si>
    <t>April</t>
  </si>
  <si>
    <t xml:space="preserve">Annual </t>
  </si>
  <si>
    <t>Outlays</t>
  </si>
  <si>
    <t>Capital Improvement Fund</t>
  </si>
  <si>
    <t>P&amp;I annual</t>
  </si>
  <si>
    <t>CY 2022</t>
  </si>
  <si>
    <t>CY 2021</t>
  </si>
  <si>
    <t xml:space="preserve">   TOTAL PER MONTH</t>
  </si>
  <si>
    <t xml:space="preserve">   NET CASH FLOW</t>
  </si>
  <si>
    <t>paid in full</t>
  </si>
  <si>
    <t>Allocation from District's Net Cash Flow</t>
  </si>
  <si>
    <t>Dividend from LAIF investments</t>
  </si>
  <si>
    <t>Expenses</t>
  </si>
  <si>
    <t>D&amp;O Insurance</t>
  </si>
  <si>
    <t xml:space="preserve">Healthcare Entity Comprehensive Liability </t>
  </si>
  <si>
    <t>Office Expenses</t>
  </si>
  <si>
    <t>Phone and Internet</t>
  </si>
  <si>
    <t>Net Operating Balance</t>
  </si>
  <si>
    <t>Sum of Expenses</t>
  </si>
  <si>
    <t>Cash Flow</t>
  </si>
  <si>
    <t>Total Receipts</t>
  </si>
  <si>
    <t>no CPI adjustment</t>
  </si>
  <si>
    <t>CPI</t>
  </si>
  <si>
    <t>Board Budget Allocation</t>
  </si>
  <si>
    <t>Revenue Bonds- Refinanced 2016</t>
  </si>
  <si>
    <t xml:space="preserve">Cal Mortgage Line of Credit </t>
  </si>
  <si>
    <r>
      <t>HELP II Loan</t>
    </r>
    <r>
      <rPr>
        <b/>
        <sz val="11"/>
        <color theme="1"/>
        <rFont val="Calibri"/>
        <family val="2"/>
        <scheme val="minor"/>
      </rPr>
      <t xml:space="preserve"> </t>
    </r>
  </si>
  <si>
    <t>UHC of California</t>
  </si>
  <si>
    <t>Unrestricted Cash Assets</t>
  </si>
  <si>
    <t>LAIF</t>
  </si>
  <si>
    <t>check</t>
  </si>
  <si>
    <t>Hospital Anniversary activities</t>
  </si>
  <si>
    <t>Contributions to HSA</t>
  </si>
  <si>
    <t>Property Insurance for 775 River Drive</t>
  </si>
  <si>
    <t>per month</t>
  </si>
  <si>
    <t>per year</t>
  </si>
  <si>
    <t>Cumulative Restricted Capital Fund</t>
  </si>
  <si>
    <t>TOTAL</t>
  </si>
  <si>
    <t>Restricted Funds</t>
  </si>
  <si>
    <t>Improvements Fund</t>
  </si>
  <si>
    <t>Payroll</t>
  </si>
  <si>
    <t>Total</t>
  </si>
  <si>
    <t>BB&amp;K</t>
  </si>
  <si>
    <t>Coast Self Storage</t>
  </si>
  <si>
    <t>DZA</t>
  </si>
  <si>
    <t>Cal Mortgage</t>
  </si>
  <si>
    <t>Cost Report</t>
  </si>
  <si>
    <t>OSHPD</t>
  </si>
  <si>
    <t>WorkTerra</t>
  </si>
  <si>
    <t>Contingency</t>
  </si>
  <si>
    <t xml:space="preserve">Property Tax Administrative Services </t>
  </si>
  <si>
    <t>one time</t>
  </si>
  <si>
    <t>CARES Audit</t>
  </si>
  <si>
    <t>DZA audits</t>
  </si>
  <si>
    <t>for FY2021 audit</t>
  </si>
  <si>
    <t>FY2022</t>
  </si>
  <si>
    <t>FY 2021</t>
  </si>
  <si>
    <t>Financial Services K. McKee &amp; Co.</t>
  </si>
  <si>
    <t>Est. date of occupany</t>
  </si>
  <si>
    <t>is January.</t>
  </si>
  <si>
    <t>Refurbishment of Neva Canon Room</t>
  </si>
  <si>
    <t>Potential New Programs</t>
  </si>
  <si>
    <t>One time</t>
  </si>
  <si>
    <t>core NI</t>
  </si>
  <si>
    <t>Open Management Position(s)</t>
  </si>
  <si>
    <t>Legal Services</t>
  </si>
  <si>
    <t>Budgeted</t>
  </si>
  <si>
    <t>Actual</t>
  </si>
  <si>
    <t>Other (including memberships)</t>
  </si>
  <si>
    <t>Previous Balance</t>
  </si>
  <si>
    <t>Other Receipts</t>
  </si>
  <si>
    <t>Other Outlays</t>
  </si>
  <si>
    <t>PHP direct payment for FY2020</t>
  </si>
  <si>
    <t>Medical overpayment Clinic FY2020</t>
  </si>
  <si>
    <t>DHCS reconciliation FY2017</t>
  </si>
  <si>
    <t xml:space="preserve">CARES funding </t>
  </si>
  <si>
    <t>CMS reconciliation</t>
  </si>
  <si>
    <t>Net</t>
  </si>
  <si>
    <t>Money for a new hospitial</t>
  </si>
  <si>
    <t>RCF</t>
  </si>
  <si>
    <t>as of June 2022</t>
  </si>
  <si>
    <t>Money available for a new hospital</t>
  </si>
  <si>
    <t>New cash</t>
  </si>
  <si>
    <t>SBMC (estimated)</t>
  </si>
  <si>
    <t>Measure C (estimated)</t>
  </si>
  <si>
    <t xml:space="preserve">Accounts Receivable </t>
  </si>
  <si>
    <t>Inter Governmental Transfer (estimate)</t>
  </si>
  <si>
    <t>HELP II</t>
  </si>
  <si>
    <t>CA Financing Authority</t>
  </si>
  <si>
    <t>Loan Amount</t>
  </si>
  <si>
    <t>Interest rate</t>
  </si>
  <si>
    <t>Lender</t>
  </si>
  <si>
    <t>Name of Loan</t>
  </si>
  <si>
    <t>Monthly Payment</t>
  </si>
  <si>
    <t>Term in years</t>
  </si>
  <si>
    <t>Date of loan</t>
  </si>
  <si>
    <t>Date of last payment</t>
  </si>
  <si>
    <t>AH payable for ongoing maintenance</t>
  </si>
  <si>
    <t>CMS cost report adjustment</t>
  </si>
  <si>
    <t>Tri-County (estimated)</t>
  </si>
  <si>
    <t>Bank of America (estimated)</t>
  </si>
  <si>
    <t>Help II</t>
  </si>
  <si>
    <t>Revenue Bonds - 2016</t>
  </si>
  <si>
    <t>As of Jan. 1 2022</t>
  </si>
  <si>
    <t>Outstanding Balance 6/30/2021</t>
  </si>
  <si>
    <t>Outstanding Balance 12/31/2021</t>
  </si>
  <si>
    <t>UHC note</t>
  </si>
  <si>
    <t>United Health Care</t>
  </si>
  <si>
    <t>Bond holders</t>
  </si>
  <si>
    <t>3%, then 5% in 2025</t>
  </si>
  <si>
    <t>Required Reserve</t>
  </si>
  <si>
    <t>Annual Payment</t>
  </si>
  <si>
    <t>notes</t>
  </si>
  <si>
    <t>Rev Bonds are re-paid every June 30th</t>
  </si>
  <si>
    <t>total payments in 2021</t>
  </si>
  <si>
    <t>total paymens in 2022</t>
  </si>
  <si>
    <t>Cal Mortgage Line of Credit (fully repaid in March 2022)</t>
  </si>
  <si>
    <t>HELP II Loan</t>
  </si>
  <si>
    <t>To the District Board for use in operating the District</t>
  </si>
  <si>
    <t>Current liabilities</t>
  </si>
  <si>
    <t>Current Liabilities</t>
  </si>
  <si>
    <t>Current Assets</t>
  </si>
  <si>
    <t>TOTAL CURRENT LIABILITIES</t>
  </si>
  <si>
    <t>TOTAL CURRENT ASSETS</t>
  </si>
  <si>
    <t>GO property tax receipts</t>
  </si>
  <si>
    <t>Measure C receipts</t>
  </si>
  <si>
    <t>NET CURRENT CASH POSITION</t>
  </si>
  <si>
    <t>Lease Payment</t>
  </si>
  <si>
    <t>Monthly</t>
  </si>
  <si>
    <t>Annual</t>
  </si>
  <si>
    <t>Liabilities</t>
  </si>
  <si>
    <t>Refund CARES funding</t>
  </si>
  <si>
    <t>Balance Sheet</t>
  </si>
  <si>
    <t>2H FY22</t>
  </si>
  <si>
    <t>Current Unrestricted Cash</t>
  </si>
  <si>
    <t>Accounts Receivable</t>
  </si>
  <si>
    <t>Long Term Debt</t>
  </si>
  <si>
    <t>TOTAL LIABILITIES</t>
  </si>
  <si>
    <t>Cash Assets</t>
  </si>
  <si>
    <t>Buildings and Facilities</t>
  </si>
  <si>
    <t>TOTAL NON-CASH</t>
  </si>
  <si>
    <t>TOTAL CASH</t>
  </si>
  <si>
    <t>NET POSITION</t>
  </si>
  <si>
    <t>Property Taxes</t>
  </si>
  <si>
    <t>FY-24</t>
  </si>
  <si>
    <t>FY-25</t>
  </si>
  <si>
    <t>FY-26</t>
  </si>
  <si>
    <t>Total Loan Repayrments</t>
  </si>
  <si>
    <t>Expenditure Pattern</t>
  </si>
  <si>
    <t>S curve</t>
  </si>
  <si>
    <t>Total construction cost</t>
  </si>
  <si>
    <t>acceleration</t>
  </si>
  <si>
    <t>Other unrestricted cash assets</t>
  </si>
  <si>
    <t>Cost report adjustment and IGT</t>
  </si>
  <si>
    <t>less current liabilities</t>
  </si>
  <si>
    <t>Improvements fund (restricted)</t>
  </si>
  <si>
    <t>Fund Measure C restricted account</t>
  </si>
  <si>
    <t>Fund Restricted Capital account</t>
  </si>
  <si>
    <t>Restricted Capital Account balance</t>
  </si>
  <si>
    <t>annual/10 yrs</t>
  </si>
  <si>
    <t>GO tax</t>
  </si>
  <si>
    <t>Actuals</t>
  </si>
  <si>
    <t>Budget thru Jan.</t>
  </si>
  <si>
    <t>Jan. 17, 2022</t>
  </si>
  <si>
    <t>interest</t>
  </si>
  <si>
    <t>principle</t>
  </si>
  <si>
    <t>HL&amp;B</t>
  </si>
  <si>
    <t>Beta</t>
  </si>
  <si>
    <t>BNY Mellon</t>
  </si>
  <si>
    <t>K. McKee &amp; Co.</t>
  </si>
  <si>
    <t>Website creation</t>
  </si>
  <si>
    <t>FTI</t>
  </si>
  <si>
    <t>Neva Cannon</t>
  </si>
  <si>
    <t>P&amp;A</t>
  </si>
  <si>
    <t>Simplyr</t>
  </si>
  <si>
    <t>total</t>
  </si>
  <si>
    <t>Beta Insurance</t>
  </si>
  <si>
    <t>Petrark</t>
  </si>
  <si>
    <t>Michelle McMillan</t>
  </si>
  <si>
    <t>BYN Mellon</t>
  </si>
  <si>
    <t>10 beds</t>
  </si>
  <si>
    <t>25 beds</t>
  </si>
  <si>
    <t>Outpatient</t>
  </si>
  <si>
    <t>Option</t>
  </si>
  <si>
    <t>Loan amount</t>
  </si>
  <si>
    <t>Annual payment</t>
  </si>
  <si>
    <t>Property Tax</t>
  </si>
  <si>
    <t>Cost</t>
  </si>
  <si>
    <t>County Tax Administrative Services</t>
  </si>
  <si>
    <t>Yearly Expenses 25 Bed Hospital</t>
  </si>
  <si>
    <t>Yearly Expenses 10 Bes Hospital</t>
  </si>
  <si>
    <t xml:space="preserve">  </t>
  </si>
  <si>
    <t>Refurbishment of AJ Gray Building</t>
  </si>
  <si>
    <t>Cumulative Cash Flow*</t>
  </si>
  <si>
    <t>Semi-Annual</t>
  </si>
  <si>
    <t>July 1 - Jan. 1</t>
  </si>
  <si>
    <t>improvement</t>
  </si>
  <si>
    <t>Projected FYE actual compared to June budget</t>
  </si>
  <si>
    <t>Restricted Capital Fund(estimated)</t>
  </si>
  <si>
    <t>* note: Cash carried over from 1HFY22 is $35,274</t>
  </si>
  <si>
    <t>Cost per bed</t>
  </si>
  <si>
    <t>Improvements Fund (maintenance)</t>
  </si>
  <si>
    <t>Cumulative Restricted Capital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</si>
</sst>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  <numFmt numFmtId="167" formatCode="0.0%"/>
    <numFmt numFmtId="168" formatCode="0.000%"/>
    <numFmt numFmtId="169" formatCode="_([$$-409]* #,##0_);_([$$-409]* \(#,##0\);_([$$-409]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E0F1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rgb="FF212124"/>
      <name val="Calibri"/>
      <family val="2"/>
      <scheme val="minor"/>
    </font>
    <font>
      <sz val="16"/>
      <color theme="8"/>
      <name val="Calibri"/>
      <family val="2"/>
      <scheme val="minor"/>
    </font>
    <font>
      <sz val="16"/>
      <color rgb="FFC0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212124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7" fillId="5" borderId="0" applyNumberFormat="0" applyBorder="0" applyAlignment="0" applyProtection="0"/>
  </cellStyleXfs>
  <cellXfs count="181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164" fontId="0" fillId="0" borderId="0" xfId="0" applyNumberFormat="1" applyBorder="1"/>
    <xf numFmtId="0" fontId="0" fillId="0" borderId="0" xfId="0" applyAlignment="1">
      <alignment horizontal="left"/>
    </xf>
    <xf numFmtId="9" fontId="0" fillId="0" borderId="0" xfId="1" applyFont="1"/>
    <xf numFmtId="0" fontId="1" fillId="0" borderId="0" xfId="0" applyFont="1"/>
    <xf numFmtId="165" fontId="0" fillId="0" borderId="0" xfId="2" applyNumberFormat="1" applyFont="1"/>
    <xf numFmtId="0" fontId="3" fillId="0" borderId="0" xfId="0" applyFont="1"/>
    <xf numFmtId="165" fontId="3" fillId="0" borderId="0" xfId="2" applyNumberFormat="1" applyFont="1"/>
    <xf numFmtId="14" fontId="3" fillId="0" borderId="4" xfId="2" applyNumberFormat="1" applyFont="1" applyBorder="1" applyAlignment="1">
      <alignment horizontal="center"/>
    </xf>
    <xf numFmtId="165" fontId="3" fillId="0" borderId="5" xfId="2" applyNumberFormat="1" applyFont="1" applyBorder="1" applyAlignment="1">
      <alignment horizontal="center"/>
    </xf>
    <xf numFmtId="14" fontId="3" fillId="0" borderId="6" xfId="2" applyNumberFormat="1" applyFont="1" applyBorder="1" applyAlignment="1">
      <alignment horizontal="center"/>
    </xf>
    <xf numFmtId="166" fontId="3" fillId="0" borderId="0" xfId="3" applyNumberFormat="1" applyFont="1"/>
    <xf numFmtId="165" fontId="3" fillId="0" borderId="3" xfId="2" applyNumberFormat="1" applyFont="1" applyBorder="1"/>
    <xf numFmtId="165" fontId="3" fillId="0" borderId="2" xfId="2" applyNumberFormat="1" applyFont="1" applyBorder="1"/>
    <xf numFmtId="0" fontId="4" fillId="0" borderId="0" xfId="0" applyFont="1"/>
    <xf numFmtId="166" fontId="3" fillId="0" borderId="1" xfId="3" applyNumberFormat="1" applyFont="1" applyBorder="1"/>
    <xf numFmtId="165" fontId="4" fillId="0" borderId="7" xfId="2" applyNumberFormat="1" applyFont="1" applyBorder="1"/>
    <xf numFmtId="165" fontId="3" fillId="0" borderId="8" xfId="2" applyNumberFormat="1" applyFont="1" applyBorder="1"/>
    <xf numFmtId="165" fontId="3" fillId="0" borderId="9" xfId="2" applyNumberFormat="1" applyFont="1" applyBorder="1"/>
    <xf numFmtId="165" fontId="3" fillId="0" borderId="10" xfId="2" applyNumberFormat="1" applyFont="1" applyBorder="1"/>
    <xf numFmtId="165" fontId="3" fillId="0" borderId="0" xfId="2" applyNumberFormat="1" applyFont="1" applyBorder="1"/>
    <xf numFmtId="165" fontId="3" fillId="0" borderId="11" xfId="2" applyNumberFormat="1" applyFont="1" applyBorder="1"/>
    <xf numFmtId="165" fontId="3" fillId="0" borderId="12" xfId="2" applyNumberFormat="1" applyFont="1" applyBorder="1"/>
    <xf numFmtId="165" fontId="3" fillId="0" borderId="13" xfId="2" applyNumberFormat="1" applyFont="1" applyBorder="1"/>
    <xf numFmtId="165" fontId="3" fillId="0" borderId="14" xfId="2" applyNumberFormat="1" applyFont="1" applyBorder="1"/>
    <xf numFmtId="165" fontId="3" fillId="0" borderId="1" xfId="2" applyNumberFormat="1" applyFont="1" applyBorder="1"/>
    <xf numFmtId="0" fontId="0" fillId="0" borderId="0" xfId="0" applyAlignment="1">
      <alignment wrapText="1"/>
    </xf>
    <xf numFmtId="164" fontId="0" fillId="0" borderId="0" xfId="0" applyNumberFormat="1" applyBorder="1" applyAlignment="1">
      <alignment horizontal="right"/>
    </xf>
    <xf numFmtId="0" fontId="0" fillId="3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166" fontId="0" fillId="0" borderId="0" xfId="3" applyNumberFormat="1" applyFont="1"/>
    <xf numFmtId="0" fontId="6" fillId="0" borderId="0" xfId="0" applyFont="1"/>
    <xf numFmtId="0" fontId="5" fillId="0" borderId="0" xfId="0" applyFont="1" applyAlignment="1">
      <alignment horizontal="left"/>
    </xf>
    <xf numFmtId="164" fontId="5" fillId="0" borderId="0" xfId="0" applyNumberFormat="1" applyFont="1" applyBorder="1"/>
    <xf numFmtId="0" fontId="5" fillId="0" borderId="0" xfId="0" applyFont="1"/>
    <xf numFmtId="0" fontId="7" fillId="0" borderId="0" xfId="0" applyFont="1" applyAlignment="1">
      <alignment horizontal="left" wrapText="1"/>
    </xf>
    <xf numFmtId="0" fontId="7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0" fontId="8" fillId="0" borderId="0" xfId="0" applyFont="1"/>
    <xf numFmtId="166" fontId="0" fillId="0" borderId="0" xfId="0" applyNumberFormat="1" applyFill="1"/>
    <xf numFmtId="0" fontId="0" fillId="0" borderId="0" xfId="0" applyFill="1"/>
    <xf numFmtId="166" fontId="9" fillId="0" borderId="0" xfId="0" applyNumberFormat="1" applyFont="1"/>
    <xf numFmtId="166" fontId="10" fillId="0" borderId="0" xfId="0" applyNumberFormat="1" applyFont="1"/>
    <xf numFmtId="166" fontId="9" fillId="0" borderId="0" xfId="0" applyNumberFormat="1" applyFont="1" applyBorder="1"/>
    <xf numFmtId="166" fontId="0" fillId="3" borderId="0" xfId="3" applyNumberFormat="1" applyFont="1" applyFill="1"/>
    <xf numFmtId="166" fontId="1" fillId="3" borderId="0" xfId="3" applyNumberFormat="1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0" fillId="3" borderId="4" xfId="0" applyFill="1" applyBorder="1" applyAlignment="1">
      <alignment horizontal="center" vertical="center"/>
    </xf>
    <xf numFmtId="0" fontId="0" fillId="3" borderId="5" xfId="0" applyFill="1" applyBorder="1"/>
    <xf numFmtId="0" fontId="0" fillId="3" borderId="6" xfId="0" applyFill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3" borderId="0" xfId="0" applyFont="1" applyFill="1"/>
    <xf numFmtId="166" fontId="8" fillId="3" borderId="0" xfId="3" applyNumberFormat="1" applyFont="1" applyFill="1"/>
    <xf numFmtId="166" fontId="8" fillId="3" borderId="0" xfId="0" applyNumberFormat="1" applyFont="1" applyFill="1"/>
    <xf numFmtId="166" fontId="0" fillId="3" borderId="0" xfId="0" applyNumberFormat="1" applyFill="1"/>
    <xf numFmtId="168" fontId="0" fillId="3" borderId="0" xfId="1" applyNumberFormat="1" applyFont="1" applyFill="1" applyAlignment="1">
      <alignment horizontal="center"/>
    </xf>
    <xf numFmtId="0" fontId="0" fillId="3" borderId="0" xfId="0" applyFill="1" applyAlignment="1">
      <alignment wrapText="1"/>
    </xf>
    <xf numFmtId="167" fontId="0" fillId="3" borderId="0" xfId="1" applyNumberFormat="1" applyFont="1" applyFill="1" applyAlignment="1">
      <alignment horizontal="center"/>
    </xf>
    <xf numFmtId="166" fontId="0" fillId="3" borderId="0" xfId="0" applyNumberFormat="1" applyFill="1" applyAlignment="1">
      <alignment horizontal="center"/>
    </xf>
    <xf numFmtId="166" fontId="1" fillId="3" borderId="0" xfId="3" applyNumberFormat="1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/>
    <xf numFmtId="166" fontId="0" fillId="3" borderId="4" xfId="0" applyNumberFormat="1" applyFill="1" applyBorder="1" applyAlignment="1">
      <alignment horizontal="center" vertical="center"/>
    </xf>
    <xf numFmtId="166" fontId="0" fillId="3" borderId="5" xfId="0" applyNumberFormat="1" applyFill="1" applyBorder="1"/>
    <xf numFmtId="166" fontId="0" fillId="3" borderId="6" xfId="0" applyNumberFormat="1" applyFill="1" applyBorder="1"/>
    <xf numFmtId="166" fontId="0" fillId="3" borderId="5" xfId="0" applyNumberFormat="1" applyFill="1" applyBorder="1" applyAlignment="1">
      <alignment horizontal="center"/>
    </xf>
    <xf numFmtId="166" fontId="0" fillId="3" borderId="6" xfId="0" applyNumberFormat="1" applyFill="1" applyBorder="1" applyAlignment="1">
      <alignment horizontal="center"/>
    </xf>
    <xf numFmtId="10" fontId="0" fillId="3" borderId="0" xfId="0" applyNumberFormat="1" applyFill="1"/>
    <xf numFmtId="0" fontId="1" fillId="3" borderId="0" xfId="0" applyFont="1" applyFill="1" applyAlignment="1">
      <alignment horizontal="center"/>
    </xf>
    <xf numFmtId="44" fontId="0" fillId="3" borderId="0" xfId="3" applyNumberFormat="1" applyFont="1" applyFill="1"/>
    <xf numFmtId="6" fontId="0" fillId="3" borderId="0" xfId="0" applyNumberFormat="1" applyFill="1"/>
    <xf numFmtId="166" fontId="0" fillId="3" borderId="0" xfId="3" applyNumberFormat="1" applyFont="1" applyFill="1" applyBorder="1"/>
    <xf numFmtId="9" fontId="0" fillId="3" borderId="0" xfId="1" applyFont="1" applyFill="1"/>
    <xf numFmtId="166" fontId="11" fillId="0" borderId="0" xfId="3" applyNumberFormat="1" applyFont="1"/>
    <xf numFmtId="8" fontId="0" fillId="0" borderId="0" xfId="0" applyNumberFormat="1"/>
    <xf numFmtId="0" fontId="6" fillId="3" borderId="0" xfId="0" applyFont="1" applyFill="1"/>
    <xf numFmtId="166" fontId="0" fillId="3" borderId="15" xfId="0" applyNumberFormat="1" applyFill="1" applyBorder="1" applyAlignment="1">
      <alignment horizontal="center"/>
    </xf>
    <xf numFmtId="44" fontId="0" fillId="0" borderId="0" xfId="3" applyFont="1" applyAlignment="1">
      <alignment horizontal="center"/>
    </xf>
    <xf numFmtId="166" fontId="0" fillId="0" borderId="0" xfId="3" applyNumberFormat="1" applyFont="1" applyAlignment="1">
      <alignment horizontal="center"/>
    </xf>
    <xf numFmtId="15" fontId="0" fillId="3" borderId="0" xfId="0" applyNumberFormat="1" applyFill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6" fontId="0" fillId="3" borderId="0" xfId="0" applyNumberFormat="1" applyFill="1" applyBorder="1"/>
    <xf numFmtId="166" fontId="12" fillId="3" borderId="0" xfId="0" applyNumberFormat="1" applyFont="1" applyFill="1" applyBorder="1"/>
    <xf numFmtId="0" fontId="0" fillId="0" borderId="0" xfId="0" applyBorder="1"/>
    <xf numFmtId="0" fontId="6" fillId="0" borderId="0" xfId="0" applyFont="1" applyBorder="1"/>
    <xf numFmtId="0" fontId="0" fillId="0" borderId="0" xfId="0" applyFill="1" applyBorder="1" applyAlignment="1">
      <alignment horizontal="center"/>
    </xf>
    <xf numFmtId="164" fontId="0" fillId="4" borderId="0" xfId="0" applyNumberFormat="1" applyFill="1" applyBorder="1"/>
    <xf numFmtId="166" fontId="5" fillId="0" borderId="0" xfId="0" applyNumberFormat="1" applyFont="1"/>
    <xf numFmtId="0" fontId="13" fillId="0" borderId="0" xfId="0" applyFont="1" applyAlignment="1">
      <alignment horizontal="left"/>
    </xf>
    <xf numFmtId="164" fontId="13" fillId="0" borderId="0" xfId="0" applyNumberFormat="1" applyFont="1" applyBorder="1"/>
    <xf numFmtId="0" fontId="13" fillId="0" borderId="0" xfId="0" applyFont="1"/>
    <xf numFmtId="164" fontId="0" fillId="0" borderId="0" xfId="0" applyNumberFormat="1" applyFont="1" applyBorder="1"/>
    <xf numFmtId="166" fontId="9" fillId="3" borderId="0" xfId="3" applyNumberFormat="1" applyFont="1" applyFill="1"/>
    <xf numFmtId="0" fontId="7" fillId="0" borderId="0" xfId="0" applyFont="1" applyAlignment="1">
      <alignment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center"/>
    </xf>
    <xf numFmtId="10" fontId="0" fillId="0" borderId="0" xfId="1" applyNumberFormat="1" applyFont="1"/>
    <xf numFmtId="166" fontId="0" fillId="0" borderId="0" xfId="3" applyNumberFormat="1" applyFont="1" applyAlignment="1">
      <alignment horizontal="right"/>
    </xf>
    <xf numFmtId="10" fontId="0" fillId="0" borderId="0" xfId="1" applyNumberFormat="1" applyFont="1" applyAlignment="1">
      <alignment horizontal="right"/>
    </xf>
    <xf numFmtId="0" fontId="1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Alignment="1">
      <alignment horizontal="right"/>
    </xf>
    <xf numFmtId="14" fontId="0" fillId="0" borderId="0" xfId="0" applyNumberFormat="1"/>
    <xf numFmtId="0" fontId="0" fillId="0" borderId="0" xfId="1" applyNumberFormat="1" applyFont="1"/>
    <xf numFmtId="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69" fontId="0" fillId="0" borderId="0" xfId="0" applyNumberFormat="1" applyFill="1" applyAlignment="1">
      <alignment horizontal="center"/>
    </xf>
    <xf numFmtId="169" fontId="0" fillId="0" borderId="3" xfId="0" applyNumberFormat="1" applyBorder="1" applyAlignment="1">
      <alignment horizontal="center"/>
    </xf>
    <xf numFmtId="169" fontId="0" fillId="0" borderId="0" xfId="3" applyNumberFormat="1" applyFont="1" applyFill="1" applyAlignment="1">
      <alignment horizontal="center"/>
    </xf>
    <xf numFmtId="169" fontId="0" fillId="0" borderId="0" xfId="0" applyNumberFormat="1" applyBorder="1" applyAlignment="1">
      <alignment horizontal="center"/>
    </xf>
    <xf numFmtId="169" fontId="0" fillId="0" borderId="0" xfId="0" applyNumberFormat="1" applyFill="1" applyBorder="1" applyAlignment="1">
      <alignment horizontal="center"/>
    </xf>
    <xf numFmtId="169" fontId="5" fillId="0" borderId="1" xfId="0" applyNumberFormat="1" applyFont="1" applyBorder="1" applyAlignment="1">
      <alignment horizontal="center"/>
    </xf>
    <xf numFmtId="169" fontId="5" fillId="0" borderId="0" xfId="3" applyNumberFormat="1" applyFont="1" applyBorder="1" applyAlignment="1">
      <alignment horizontal="center"/>
    </xf>
    <xf numFmtId="169" fontId="5" fillId="0" borderId="0" xfId="0" applyNumberFormat="1" applyFont="1" applyBorder="1" applyAlignment="1">
      <alignment horizontal="center"/>
    </xf>
    <xf numFmtId="169" fontId="13" fillId="0" borderId="0" xfId="0" applyNumberFormat="1" applyFont="1" applyBorder="1" applyAlignment="1">
      <alignment horizontal="center"/>
    </xf>
    <xf numFmtId="169" fontId="0" fillId="0" borderId="0" xfId="0" applyNumberFormat="1" applyFont="1" applyBorder="1" applyAlignment="1">
      <alignment horizontal="center"/>
    </xf>
    <xf numFmtId="169" fontId="17" fillId="5" borderId="0" xfId="4" applyNumberFormat="1" applyAlignment="1">
      <alignment horizontal="center"/>
    </xf>
    <xf numFmtId="169" fontId="0" fillId="0" borderId="0" xfId="0" applyNumberFormat="1"/>
    <xf numFmtId="166" fontId="18" fillId="0" borderId="0" xfId="3" applyNumberFormat="1" applyFont="1" applyAlignment="1">
      <alignment horizontal="center"/>
    </xf>
    <xf numFmtId="166" fontId="1" fillId="0" borderId="0" xfId="0" applyNumberFormat="1" applyFont="1" applyFill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 applyFill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14" fontId="0" fillId="3" borderId="0" xfId="0" applyNumberFormat="1" applyFill="1" applyAlignment="1">
      <alignment horizontal="center"/>
    </xf>
    <xf numFmtId="166" fontId="1" fillId="3" borderId="0" xfId="3" applyNumberFormat="1" applyFont="1" applyFill="1" applyAlignment="1">
      <alignment horizontal="left"/>
    </xf>
    <xf numFmtId="166" fontId="0" fillId="3" borderId="0" xfId="3" applyNumberFormat="1" applyFont="1" applyFill="1" applyAlignment="1">
      <alignment horizontal="left"/>
    </xf>
    <xf numFmtId="166" fontId="0" fillId="3" borderId="0" xfId="3" applyNumberFormat="1" applyFont="1" applyFill="1" applyAlignment="1">
      <alignment horizontal="center"/>
    </xf>
    <xf numFmtId="166" fontId="16" fillId="3" borderId="0" xfId="3" applyNumberFormat="1" applyFont="1" applyFill="1" applyAlignment="1">
      <alignment horizontal="center"/>
    </xf>
    <xf numFmtId="0" fontId="1" fillId="3" borderId="0" xfId="0" applyFont="1" applyFill="1" applyAlignment="1">
      <alignment horizontal="left"/>
    </xf>
    <xf numFmtId="166" fontId="1" fillId="3" borderId="0" xfId="0" applyNumberFormat="1" applyFont="1" applyFill="1"/>
    <xf numFmtId="44" fontId="0" fillId="0" borderId="0" xfId="3" applyFont="1"/>
    <xf numFmtId="9" fontId="5" fillId="0" borderId="0" xfId="1" applyFont="1" applyBorder="1" applyAlignment="1">
      <alignment horizontal="center"/>
    </xf>
    <xf numFmtId="169" fontId="5" fillId="0" borderId="0" xfId="0" applyNumberFormat="1" applyFont="1"/>
    <xf numFmtId="0" fontId="19" fillId="0" borderId="0" xfId="0" applyFont="1" applyAlignment="1">
      <alignment vertical="center"/>
    </xf>
    <xf numFmtId="0" fontId="9" fillId="0" borderId="0" xfId="0" applyFont="1" applyFill="1"/>
    <xf numFmtId="166" fontId="9" fillId="0" borderId="0" xfId="0" applyNumberFormat="1" applyFont="1" applyFill="1"/>
    <xf numFmtId="166" fontId="5" fillId="0" borderId="0" xfId="0" applyNumberFormat="1" applyFont="1" applyFill="1"/>
    <xf numFmtId="0" fontId="0" fillId="3" borderId="0" xfId="0" applyFill="1" applyAlignment="1">
      <alignment horizontal="right"/>
    </xf>
    <xf numFmtId="166" fontId="0" fillId="3" borderId="4" xfId="0" applyNumberFormat="1" applyFill="1" applyBorder="1" applyAlignment="1">
      <alignment horizontal="center"/>
    </xf>
    <xf numFmtId="0" fontId="0" fillId="2" borderId="16" xfId="0" applyFont="1" applyFill="1" applyBorder="1" applyAlignment="1">
      <alignment horizontal="left"/>
    </xf>
    <xf numFmtId="169" fontId="0" fillId="4" borderId="17" xfId="0" applyNumberFormat="1" applyFill="1" applyBorder="1" applyAlignment="1">
      <alignment horizontal="center"/>
    </xf>
    <xf numFmtId="169" fontId="0" fillId="4" borderId="18" xfId="0" applyNumberFormat="1" applyFill="1" applyBorder="1" applyAlignment="1">
      <alignment horizontal="center"/>
    </xf>
    <xf numFmtId="169" fontId="0" fillId="4" borderId="19" xfId="0" applyNumberFormat="1" applyFill="1" applyBorder="1" applyAlignment="1">
      <alignment horizontal="center"/>
    </xf>
    <xf numFmtId="166" fontId="0" fillId="0" borderId="0" xfId="3" applyNumberFormat="1" applyFont="1" applyBorder="1" applyAlignment="1">
      <alignment vertical="center" wrapText="1"/>
    </xf>
    <xf numFmtId="164" fontId="20" fillId="3" borderId="0" xfId="0" applyNumberFormat="1" applyFont="1" applyFill="1" applyBorder="1" applyAlignment="1">
      <alignment horizontal="center"/>
    </xf>
    <xf numFmtId="169" fontId="9" fillId="3" borderId="0" xfId="0" applyNumberFormat="1" applyFont="1" applyFill="1" applyAlignment="1"/>
    <xf numFmtId="169" fontId="0" fillId="3" borderId="0" xfId="0" applyNumberFormat="1" applyFill="1" applyAlignment="1">
      <alignment horizontal="center"/>
    </xf>
    <xf numFmtId="169" fontId="0" fillId="3" borderId="0" xfId="0" applyNumberFormat="1" applyFill="1" applyAlignment="1"/>
    <xf numFmtId="169" fontId="0" fillId="3" borderId="21" xfId="0" applyNumberFormat="1" applyFill="1" applyBorder="1" applyAlignment="1">
      <alignment horizontal="center"/>
    </xf>
    <xf numFmtId="169" fontId="0" fillId="3" borderId="22" xfId="0" applyNumberFormat="1" applyFill="1" applyBorder="1" applyAlignment="1">
      <alignment horizontal="center"/>
    </xf>
    <xf numFmtId="169" fontId="0" fillId="3" borderId="20" xfId="0" applyNumberFormat="1" applyFont="1" applyFill="1" applyBorder="1" applyAlignment="1">
      <alignment horizontal="center"/>
    </xf>
    <xf numFmtId="169" fontId="1" fillId="3" borderId="16" xfId="0" applyNumberFormat="1" applyFont="1" applyFill="1" applyBorder="1" applyAlignment="1">
      <alignment horizontal="center"/>
    </xf>
    <xf numFmtId="169" fontId="1" fillId="3" borderId="22" xfId="0" applyNumberFormat="1" applyFont="1" applyFill="1" applyBorder="1" applyAlignment="1">
      <alignment horizontal="center"/>
    </xf>
    <xf numFmtId="169" fontId="5" fillId="3" borderId="0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166" fontId="5" fillId="0" borderId="0" xfId="3" applyNumberFormat="1" applyFont="1"/>
    <xf numFmtId="0" fontId="21" fillId="3" borderId="0" xfId="0" applyFont="1" applyFill="1"/>
    <xf numFmtId="166" fontId="11" fillId="3" borderId="0" xfId="3" applyNumberFormat="1" applyFont="1" applyFill="1"/>
    <xf numFmtId="0" fontId="0" fillId="0" borderId="0" xfId="0" applyAlignment="1">
      <alignment horizontal="center"/>
    </xf>
    <xf numFmtId="164" fontId="9" fillId="3" borderId="0" xfId="0" applyNumberFormat="1" applyFont="1" applyFill="1" applyBorder="1" applyAlignment="1">
      <alignment horizontal="left"/>
    </xf>
    <xf numFmtId="44" fontId="0" fillId="0" borderId="0" xfId="0" applyNumberFormat="1"/>
    <xf numFmtId="0" fontId="1" fillId="3" borderId="0" xfId="0" applyFont="1" applyFill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5">
    <cellStyle name="Comma" xfId="2" builtinId="3"/>
    <cellStyle name="Currency" xfId="3" builtinId="4"/>
    <cellStyle name="Good" xfId="4" builtinId="26"/>
    <cellStyle name="Normal" xfId="0" builtinId="0"/>
    <cellStyle name="Percent" xfId="1" builtinId="5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'10-year cash flow'!$A$5</c:f>
              <c:strCache>
                <c:ptCount val="1"/>
                <c:pt idx="0">
                  <c:v>Measure 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'10-year cash flow'!$D$3:$L$3</c:f>
              <c:strCache>
                <c:ptCount val="9"/>
                <c:pt idx="0">
                  <c:v> FY-22 </c:v>
                </c:pt>
                <c:pt idx="1">
                  <c:v> FY-23 </c:v>
                </c:pt>
                <c:pt idx="2">
                  <c:v> FY-24 </c:v>
                </c:pt>
                <c:pt idx="3">
                  <c:v> FY-25 </c:v>
                </c:pt>
                <c:pt idx="4">
                  <c:v> FY-26 </c:v>
                </c:pt>
                <c:pt idx="5">
                  <c:v> FYE-27 </c:v>
                </c:pt>
                <c:pt idx="6">
                  <c:v> FY-28 </c:v>
                </c:pt>
                <c:pt idx="7">
                  <c:v> FY-29 </c:v>
                </c:pt>
                <c:pt idx="8">
                  <c:v> FY-30 </c:v>
                </c:pt>
              </c:strCache>
            </c:strRef>
          </c:cat>
          <c:val>
            <c:numRef>
              <c:f>'10-year cash flow'!$D$5:$L$5</c:f>
              <c:numCache>
                <c:formatCode>_([$$-409]* #,##0_);_([$$-409]* \(#,##0\);_([$$-409]* "-"??_);_(@_)</c:formatCode>
                <c:ptCount val="9"/>
                <c:pt idx="0">
                  <c:v>1587896</c:v>
                </c:pt>
                <c:pt idx="1">
                  <c:v>1587896</c:v>
                </c:pt>
                <c:pt idx="2">
                  <c:v>1587896</c:v>
                </c:pt>
                <c:pt idx="3">
                  <c:v>1587896</c:v>
                </c:pt>
                <c:pt idx="4">
                  <c:v>1587896</c:v>
                </c:pt>
                <c:pt idx="5">
                  <c:v>1587896</c:v>
                </c:pt>
                <c:pt idx="6">
                  <c:v>1587896</c:v>
                </c:pt>
                <c:pt idx="7">
                  <c:v>1587896</c:v>
                </c:pt>
                <c:pt idx="8">
                  <c:v>1587896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5F-4A57-BD71-886377FA5642}"/>
            </c:ext>
          </c:extLst>
        </c:ser>
        <c:ser>
          <c:idx val="1"/>
          <c:order val="1"/>
          <c:tx>
            <c:strRef>
              <c:f>'10-year cash flow'!$A$6</c:f>
              <c:strCache>
                <c:ptCount val="1"/>
                <c:pt idx="0">
                  <c:v>Property Taxes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'10-year cash flow'!$D$3:$L$3</c:f>
              <c:strCache>
                <c:ptCount val="9"/>
                <c:pt idx="0">
                  <c:v> FY-22 </c:v>
                </c:pt>
                <c:pt idx="1">
                  <c:v> FY-23 </c:v>
                </c:pt>
                <c:pt idx="2">
                  <c:v> FY-24 </c:v>
                </c:pt>
                <c:pt idx="3">
                  <c:v> FY-25 </c:v>
                </c:pt>
                <c:pt idx="4">
                  <c:v> FY-26 </c:v>
                </c:pt>
                <c:pt idx="5">
                  <c:v> FYE-27 </c:v>
                </c:pt>
                <c:pt idx="6">
                  <c:v> FY-28 </c:v>
                </c:pt>
                <c:pt idx="7">
                  <c:v> FY-29 </c:v>
                </c:pt>
                <c:pt idx="8">
                  <c:v> FY-30 </c:v>
                </c:pt>
              </c:strCache>
            </c:strRef>
          </c:cat>
          <c:val>
            <c:numRef>
              <c:f>'10-year cash flow'!$D$6:$L$6</c:f>
              <c:numCache>
                <c:formatCode>_([$$-409]* #,##0_);_([$$-409]* \(#,##0\);_([$$-409]* "-"??_);_(@_)</c:formatCode>
                <c:ptCount val="9"/>
                <c:pt idx="0">
                  <c:v>956579.85999999987</c:v>
                </c:pt>
                <c:pt idx="1">
                  <c:v>970928.55789999978</c:v>
                </c:pt>
                <c:pt idx="2">
                  <c:v>985492.48626849963</c:v>
                </c:pt>
                <c:pt idx="3">
                  <c:v>1000274.873562527</c:v>
                </c:pt>
                <c:pt idx="4">
                  <c:v>1015278.9966659648</c:v>
                </c:pt>
                <c:pt idx="5">
                  <c:v>1030508.1816159543</c:v>
                </c:pt>
                <c:pt idx="6">
                  <c:v>1045965.8043401935</c:v>
                </c:pt>
                <c:pt idx="7">
                  <c:v>1061655.2914052964</c:v>
                </c:pt>
                <c:pt idx="8">
                  <c:v>1077580.1207763758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5F-4A57-BD71-886377FA5642}"/>
            </c:ext>
          </c:extLst>
        </c:ser>
        <c:ser>
          <c:idx val="2"/>
          <c:order val="2"/>
          <c:tx>
            <c:strRef>
              <c:f>'10-year cash flow'!$A$7</c:f>
              <c:strCache>
                <c:ptCount val="1"/>
                <c:pt idx="0">
                  <c:v>AH Lease Payment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'10-year cash flow'!$D$3:$L$3</c:f>
              <c:strCache>
                <c:ptCount val="9"/>
                <c:pt idx="0">
                  <c:v> FY-22 </c:v>
                </c:pt>
                <c:pt idx="1">
                  <c:v> FY-23 </c:v>
                </c:pt>
                <c:pt idx="2">
                  <c:v> FY-24 </c:v>
                </c:pt>
                <c:pt idx="3">
                  <c:v> FY-25 </c:v>
                </c:pt>
                <c:pt idx="4">
                  <c:v> FY-26 </c:v>
                </c:pt>
                <c:pt idx="5">
                  <c:v> FYE-27 </c:v>
                </c:pt>
                <c:pt idx="6">
                  <c:v> FY-28 </c:v>
                </c:pt>
                <c:pt idx="7">
                  <c:v> FY-29 </c:v>
                </c:pt>
                <c:pt idx="8">
                  <c:v> FY-30 </c:v>
                </c:pt>
              </c:strCache>
            </c:strRef>
          </c:cat>
          <c:val>
            <c:numRef>
              <c:f>'10-year cash flow'!$D$7:$L$7</c:f>
              <c:numCache>
                <c:formatCode>_([$$-409]* #,##0_);_([$$-409]* \(#,##0\);_([$$-409]* "-"??_);_(@_)</c:formatCode>
                <c:ptCount val="9"/>
                <c:pt idx="0">
                  <c:v>1750000</c:v>
                </c:pt>
                <c:pt idx="1">
                  <c:v>1750000</c:v>
                </c:pt>
                <c:pt idx="2">
                  <c:v>1750000</c:v>
                </c:pt>
                <c:pt idx="3">
                  <c:v>1750000</c:v>
                </c:pt>
                <c:pt idx="4">
                  <c:v>2950000</c:v>
                </c:pt>
                <c:pt idx="5">
                  <c:v>3038500</c:v>
                </c:pt>
                <c:pt idx="6">
                  <c:v>3129655</c:v>
                </c:pt>
                <c:pt idx="7">
                  <c:v>3223544.65</c:v>
                </c:pt>
                <c:pt idx="8">
                  <c:v>3320250.9894999997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5F-4A57-BD71-886377FA5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2856424"/>
        <c:axId val="582859376"/>
      </c:barChart>
      <c:catAx>
        <c:axId val="582856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859376"/>
        <c:crosses val="autoZero"/>
        <c:auto val="1"/>
        <c:lblAlgn val="ctr"/>
        <c:lblOffset val="100"/>
        <c:noMultiLvlLbl val="0"/>
      </c:catAx>
      <c:valAx>
        <c:axId val="58285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[$$-409]* #,##0_);_([$$-409]* \(#,##0\);_([$$-409]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285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accent1">
                    <a:lumMod val="50000"/>
                  </a:schemeClr>
                </a:solidFill>
              </a:rPr>
              <a:t>District's Revenues</a:t>
            </a:r>
            <a:r>
              <a:rPr lang="en-US" sz="1800" b="1" baseline="0">
                <a:solidFill>
                  <a:schemeClr val="accent1">
                    <a:lumMod val="50000"/>
                  </a:schemeClr>
                </a:solidFill>
              </a:rPr>
              <a:t> and Expenses</a:t>
            </a:r>
            <a:endParaRPr lang="en-US" sz="1800" b="1">
              <a:solidFill>
                <a:schemeClr val="accent1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28460058464592719"/>
          <c:y val="4.84428024455969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 Revenue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'10-year cash flow'!$D$3:$L$3</c:f>
              <c:strCache>
                <c:ptCount val="9"/>
                <c:pt idx="0">
                  <c:v> FY-22 </c:v>
                </c:pt>
                <c:pt idx="1">
                  <c:v> FY-23 </c:v>
                </c:pt>
                <c:pt idx="2">
                  <c:v> FY-24 </c:v>
                </c:pt>
                <c:pt idx="3">
                  <c:v> FY-25 </c:v>
                </c:pt>
                <c:pt idx="4">
                  <c:v> FY-26 </c:v>
                </c:pt>
                <c:pt idx="5">
                  <c:v> FYE-27 </c:v>
                </c:pt>
                <c:pt idx="6">
                  <c:v> FY-28 </c:v>
                </c:pt>
                <c:pt idx="7">
                  <c:v> FY-29 </c:v>
                </c:pt>
                <c:pt idx="8">
                  <c:v> FY-30 </c:v>
                </c:pt>
              </c:strCache>
            </c:strRef>
          </c:cat>
          <c:val>
            <c:numRef>
              <c:f>'10-year cash flow'!$D$8:$L$8</c:f>
              <c:numCache>
                <c:formatCode>_([$$-409]* #,##0_);_([$$-409]* \(#,##0\);_([$$-409]* "-"??_);_(@_)</c:formatCode>
                <c:ptCount val="9"/>
                <c:pt idx="0">
                  <c:v>4294475.8599999994</c:v>
                </c:pt>
                <c:pt idx="1">
                  <c:v>4308824.5579000004</c:v>
                </c:pt>
                <c:pt idx="2">
                  <c:v>4323388.4862684999</c:v>
                </c:pt>
                <c:pt idx="3">
                  <c:v>4338170.8735625269</c:v>
                </c:pt>
                <c:pt idx="4">
                  <c:v>5553174.9966659648</c:v>
                </c:pt>
                <c:pt idx="5">
                  <c:v>5656904.1816159543</c:v>
                </c:pt>
                <c:pt idx="6">
                  <c:v>5763516.804340193</c:v>
                </c:pt>
                <c:pt idx="7">
                  <c:v>5873095.9414052963</c:v>
                </c:pt>
                <c:pt idx="8">
                  <c:v>5985727.110276375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22-4B73-B542-CDFABA706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4302472"/>
        <c:axId val="704303784"/>
      </c:barChart>
      <c:lineChart>
        <c:grouping val="standard"/>
        <c:varyColors val="0"/>
        <c:ser>
          <c:idx val="1"/>
          <c:order val="1"/>
          <c:tx>
            <c:strRef>
              <c:f>'10-year cash flow'!$A$15</c:f>
              <c:strCache>
                <c:ptCount val="1"/>
                <c:pt idx="0">
                  <c:v>Total Loan Repayrments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'10-year cash flow'!$D$3:$L$3</c:f>
              <c:strCache>
                <c:ptCount val="9"/>
                <c:pt idx="0">
                  <c:v> FY-22 </c:v>
                </c:pt>
                <c:pt idx="1">
                  <c:v> FY-23 </c:v>
                </c:pt>
                <c:pt idx="2">
                  <c:v> FY-24 </c:v>
                </c:pt>
                <c:pt idx="3">
                  <c:v> FY-25 </c:v>
                </c:pt>
                <c:pt idx="4">
                  <c:v> FY-26 </c:v>
                </c:pt>
                <c:pt idx="5">
                  <c:v> FYE-27 </c:v>
                </c:pt>
                <c:pt idx="6">
                  <c:v> FY-28 </c:v>
                </c:pt>
                <c:pt idx="7">
                  <c:v> FY-29 </c:v>
                </c:pt>
                <c:pt idx="8">
                  <c:v> FY-30 </c:v>
                </c:pt>
              </c:strCache>
            </c:strRef>
          </c:cat>
          <c:val>
            <c:numRef>
              <c:f>'10-year cash flow'!$D$15:$L$15</c:f>
              <c:numCache>
                <c:formatCode>_([$$-409]* #,##0_);_([$$-409]* \(#,##0\);_([$$-409]* "-"??_);_(@_)</c:formatCode>
                <c:ptCount val="9"/>
                <c:pt idx="0">
                  <c:v>961599</c:v>
                </c:pt>
                <c:pt idx="1">
                  <c:v>952474</c:v>
                </c:pt>
                <c:pt idx="2">
                  <c:v>948049</c:v>
                </c:pt>
                <c:pt idx="3">
                  <c:v>728174</c:v>
                </c:pt>
                <c:pt idx="4">
                  <c:v>730374</c:v>
                </c:pt>
                <c:pt idx="5">
                  <c:v>727124</c:v>
                </c:pt>
                <c:pt idx="6">
                  <c:v>727874</c:v>
                </c:pt>
                <c:pt idx="7">
                  <c:v>574000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22-4B73-B542-CDFABA7064FB}"/>
            </c:ext>
          </c:extLst>
        </c:ser>
        <c:ser>
          <c:idx val="2"/>
          <c:order val="2"/>
          <c:tx>
            <c:strRef>
              <c:f>'10-year cash flow'!$A$10</c:f>
              <c:strCache>
                <c:ptCount val="1"/>
                <c:pt idx="0">
                  <c:v>Improvements Fund (maintenance)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'10-year cash flow'!$D$10:$L$10</c:f>
              <c:numCache>
                <c:formatCode>_([$$-409]* #,##0_);_([$$-409]* \(#,##0\);_([$$-409]* "-"??_);_(@_)</c:formatCode>
                <c:ptCount val="9"/>
                <c:pt idx="0">
                  <c:v>2060000</c:v>
                </c:pt>
                <c:pt idx="1">
                  <c:v>2121800</c:v>
                </c:pt>
                <c:pt idx="2">
                  <c:v>2185454</c:v>
                </c:pt>
                <c:pt idx="3">
                  <c:v>2251017.62</c:v>
                </c:pt>
                <c:pt idx="4">
                  <c:v>2318548.1486</c:v>
                </c:pt>
                <c:pt idx="5">
                  <c:v>2388104.5930579999</c:v>
                </c:pt>
                <c:pt idx="6">
                  <c:v>2459747.7308497396</c:v>
                </c:pt>
                <c:pt idx="7">
                  <c:v>2533540.162775232</c:v>
                </c:pt>
                <c:pt idx="8">
                  <c:v>2609546.3676584889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22-4B73-B542-CDFABA706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4302472"/>
        <c:axId val="704303784"/>
      </c:lineChart>
      <c:catAx>
        <c:axId val="704302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303784"/>
        <c:crosses val="autoZero"/>
        <c:auto val="1"/>
        <c:lblAlgn val="ctr"/>
        <c:lblOffset val="100"/>
        <c:noMultiLvlLbl val="0"/>
      </c:catAx>
      <c:valAx>
        <c:axId val="704303784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[$$-409]* #,##0_);_([$$-409]* \(#,##0\);_([$$-409]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4302472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>
                <a:solidFill>
                  <a:schemeClr val="accent1">
                    <a:lumMod val="75000"/>
                  </a:schemeClr>
                </a:solidFill>
              </a:rPr>
              <a:t>Paying</a:t>
            </a:r>
            <a:r>
              <a:rPr lang="en-US" sz="2400" b="1" baseline="0">
                <a:solidFill>
                  <a:schemeClr val="accent1">
                    <a:lumMod val="75000"/>
                  </a:schemeClr>
                </a:solidFill>
              </a:rPr>
              <a:t> for the Facility</a:t>
            </a:r>
            <a:endParaRPr lang="en-US" sz="2400" b="1">
              <a:solidFill>
                <a:schemeClr val="accent1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198478892431590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449488434759644"/>
          <c:y val="0.26710804240423358"/>
          <c:w val="0.8119141861394068"/>
          <c:h val="0.62026911626812264"/>
        </c:manualLayout>
      </c:layout>
      <c:areaChart>
        <c:grouping val="standard"/>
        <c:varyColors val="0"/>
        <c:ser>
          <c:idx val="0"/>
          <c:order val="0"/>
          <c:tx>
            <c:v>Funds for a New Facility</c:v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chemeClr val="accent1">
                  <a:lumMod val="75000"/>
                </a:schemeClr>
              </a:solidFill>
              <a:prstDash val="dash"/>
            </a:ln>
            <a:effectLst/>
          </c:spPr>
          <c:cat>
            <c:strRef>
              <c:f>'10-year cash flow'!$D$3:$L$3</c:f>
              <c:strCache>
                <c:ptCount val="9"/>
                <c:pt idx="0">
                  <c:v> FY-22 </c:v>
                </c:pt>
                <c:pt idx="1">
                  <c:v> FY-23 </c:v>
                </c:pt>
                <c:pt idx="2">
                  <c:v> FY-24 </c:v>
                </c:pt>
                <c:pt idx="3">
                  <c:v> FY-25 </c:v>
                </c:pt>
                <c:pt idx="4">
                  <c:v> FY-26 </c:v>
                </c:pt>
                <c:pt idx="5">
                  <c:v> FYE-27 </c:v>
                </c:pt>
                <c:pt idx="6">
                  <c:v> FY-28 </c:v>
                </c:pt>
                <c:pt idx="7">
                  <c:v> FY-29 </c:v>
                </c:pt>
                <c:pt idx="8">
                  <c:v> FY-30 </c:v>
                </c:pt>
              </c:strCache>
            </c:strRef>
          </c:cat>
          <c:val>
            <c:numRef>
              <c:f>'10-year cash flow'!$D$34:$L$34</c:f>
              <c:numCache>
                <c:formatCode>_([$$-409]* #,##0_);_([$$-409]* \(#,##0\);_([$$-409]* "-"??_);_(@_)</c:formatCode>
                <c:ptCount val="9"/>
                <c:pt idx="0">
                  <c:v>8636921.290000001</c:v>
                </c:pt>
                <c:pt idx="1">
                  <c:v>9621471.8479000013</c:v>
                </c:pt>
                <c:pt idx="2">
                  <c:v>10561357.334168501</c:v>
                </c:pt>
                <c:pt idx="3">
                  <c:v>11670336.587731028</c:v>
                </c:pt>
                <c:pt idx="4">
                  <c:v>13924589.435796993</c:v>
                </c:pt>
                <c:pt idx="5">
                  <c:v>16216265.024354948</c:v>
                </c:pt>
                <c:pt idx="6">
                  <c:v>18542160.097845402</c:v>
                </c:pt>
                <c:pt idx="7">
                  <c:v>21057715.876475465</c:v>
                </c:pt>
                <c:pt idx="8">
                  <c:v>24183896.619093351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7-47F6-8D03-64D0BDE37A74}"/>
            </c:ext>
          </c:extLst>
        </c:ser>
        <c:ser>
          <c:idx val="1"/>
          <c:order val="1"/>
          <c:tx>
            <c:v>Cumulative Project Costs</c:v>
          </c:tx>
          <c:spPr>
            <a:solidFill>
              <a:schemeClr val="accent2">
                <a:lumMod val="40000"/>
                <a:lumOff val="60000"/>
                <a:alpha val="31000"/>
              </a:schemeClr>
            </a:solidFill>
            <a:ln w="25400">
              <a:solidFill>
                <a:schemeClr val="accent2"/>
              </a:solidFill>
            </a:ln>
            <a:effectLst/>
          </c:spPr>
          <c:val>
            <c:numRef>
              <c:f>'10-year cash flow'!$D$42:$L$42</c:f>
              <c:numCache>
                <c:formatCode>_([$$-409]* #,##0_);_([$$-409]* \(#,##0\);_([$$-409]* "-"??_);_(@_)</c:formatCode>
                <c:ptCount val="9"/>
                <c:pt idx="0">
                  <c:v>175000</c:v>
                </c:pt>
                <c:pt idx="1">
                  <c:v>424495.22444959829</c:v>
                </c:pt>
                <c:pt idx="2">
                  <c:v>875000</c:v>
                </c:pt>
                <c:pt idx="3">
                  <c:v>2655036.300743524</c:v>
                </c:pt>
                <c:pt idx="4">
                  <c:v>6384893.3332224721</c:v>
                </c:pt>
                <c:pt idx="5">
                  <c:v>13213923.407935089</c:v>
                </c:pt>
                <c:pt idx="6">
                  <c:v>28615106.666777529</c:v>
                </c:pt>
                <c:pt idx="7">
                  <c:v>33974071.923702531</c:v>
                </c:pt>
                <c:pt idx="8">
                  <c:v>35000000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7-47F6-8D03-64D0BDE37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790152"/>
        <c:axId val="710797696"/>
      </c:areaChart>
      <c:catAx>
        <c:axId val="710790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797696"/>
        <c:crosses val="autoZero"/>
        <c:auto val="1"/>
        <c:lblAlgn val="ctr"/>
        <c:lblOffset val="100"/>
        <c:noMultiLvlLbl val="0"/>
      </c:catAx>
      <c:valAx>
        <c:axId val="71079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[$$-409]* #,##0_);_([$$-409]* \(#,##0\);_([$$-409]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7901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b="1">
                <a:solidFill>
                  <a:schemeClr val="accent1">
                    <a:lumMod val="75000"/>
                  </a:schemeClr>
                </a:solidFill>
              </a:rPr>
              <a:t>Paying</a:t>
            </a:r>
            <a:r>
              <a:rPr lang="en-US" sz="2400" b="1" baseline="0">
                <a:solidFill>
                  <a:schemeClr val="accent1">
                    <a:lumMod val="75000"/>
                  </a:schemeClr>
                </a:solidFill>
              </a:rPr>
              <a:t> for the Facility</a:t>
            </a:r>
            <a:endParaRPr lang="en-US" sz="2400" b="1">
              <a:solidFill>
                <a:schemeClr val="accent1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198478892431590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449488434759644"/>
          <c:y val="0.26710804240423358"/>
          <c:w val="0.8119141861394068"/>
          <c:h val="0.62026911626812264"/>
        </c:manualLayout>
      </c:layout>
      <c:areaChart>
        <c:grouping val="standard"/>
        <c:varyColors val="0"/>
        <c:ser>
          <c:idx val="0"/>
          <c:order val="0"/>
          <c:tx>
            <c:v>Funds for a New Facility</c:v>
          </c:tx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chemeClr val="accent1">
                  <a:lumMod val="75000"/>
                </a:schemeClr>
              </a:solidFill>
              <a:prstDash val="dash"/>
            </a:ln>
            <a:effectLst/>
          </c:spPr>
          <c:cat>
            <c:strRef>
              <c:f>'10-year cash flow'!$D$3:$L$3</c:f>
              <c:strCache>
                <c:ptCount val="9"/>
                <c:pt idx="0">
                  <c:v> FY-22 </c:v>
                </c:pt>
                <c:pt idx="1">
                  <c:v> FY-23 </c:v>
                </c:pt>
                <c:pt idx="2">
                  <c:v> FY-24 </c:v>
                </c:pt>
                <c:pt idx="3">
                  <c:v> FY-25 </c:v>
                </c:pt>
                <c:pt idx="4">
                  <c:v> FY-26 </c:v>
                </c:pt>
                <c:pt idx="5">
                  <c:v> FYE-27 </c:v>
                </c:pt>
                <c:pt idx="6">
                  <c:v> FY-28 </c:v>
                </c:pt>
                <c:pt idx="7">
                  <c:v> FY-29 </c:v>
                </c:pt>
                <c:pt idx="8">
                  <c:v> FY-30 </c:v>
                </c:pt>
              </c:strCache>
            </c:strRef>
          </c:cat>
          <c:val>
            <c:numRef>
              <c:f>'10-year cash flow'!$D$34:$L$34</c:f>
              <c:numCache>
                <c:formatCode>_([$$-409]* #,##0_);_([$$-409]* \(#,##0\);_([$$-409]* "-"??_);_(@_)</c:formatCode>
                <c:ptCount val="9"/>
                <c:pt idx="0">
                  <c:v>8636921.290000001</c:v>
                </c:pt>
                <c:pt idx="1">
                  <c:v>9621471.8479000013</c:v>
                </c:pt>
                <c:pt idx="2">
                  <c:v>10561357.334168501</c:v>
                </c:pt>
                <c:pt idx="3">
                  <c:v>11670336.587731028</c:v>
                </c:pt>
                <c:pt idx="4">
                  <c:v>13924589.435796993</c:v>
                </c:pt>
                <c:pt idx="5">
                  <c:v>16216265.024354948</c:v>
                </c:pt>
                <c:pt idx="6">
                  <c:v>18542160.097845402</c:v>
                </c:pt>
                <c:pt idx="7">
                  <c:v>21057715.876475465</c:v>
                </c:pt>
                <c:pt idx="8">
                  <c:v>24183896.619093351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7-47F6-8D03-64D0BDE37A74}"/>
            </c:ext>
          </c:extLst>
        </c:ser>
        <c:ser>
          <c:idx val="1"/>
          <c:order val="1"/>
          <c:tx>
            <c:v>Project Costs 10 Beds</c:v>
          </c:tx>
          <c:spPr>
            <a:solidFill>
              <a:schemeClr val="accent2">
                <a:lumMod val="40000"/>
                <a:lumOff val="60000"/>
                <a:alpha val="31000"/>
              </a:schemeClr>
            </a:solidFill>
            <a:ln w="25400">
              <a:solidFill>
                <a:schemeClr val="accent2"/>
              </a:solidFill>
            </a:ln>
            <a:effectLst/>
          </c:spPr>
          <c:val>
            <c:numRef>
              <c:f>'10-year cash flow'!$D$42:$L$42</c:f>
              <c:numCache>
                <c:formatCode>_([$$-409]* #,##0_);_([$$-409]* \(#,##0\);_([$$-409]* "-"??_);_(@_)</c:formatCode>
                <c:ptCount val="9"/>
                <c:pt idx="0">
                  <c:v>175000</c:v>
                </c:pt>
                <c:pt idx="1">
                  <c:v>424495.22444959829</c:v>
                </c:pt>
                <c:pt idx="2">
                  <c:v>875000</c:v>
                </c:pt>
                <c:pt idx="3">
                  <c:v>2655036.300743524</c:v>
                </c:pt>
                <c:pt idx="4">
                  <c:v>6384893.3332224721</c:v>
                </c:pt>
                <c:pt idx="5">
                  <c:v>13213923.407935089</c:v>
                </c:pt>
                <c:pt idx="6">
                  <c:v>28615106.666777529</c:v>
                </c:pt>
                <c:pt idx="7">
                  <c:v>33974071.923702531</c:v>
                </c:pt>
                <c:pt idx="8">
                  <c:v>35000000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7-47F6-8D03-64D0BDE37A74}"/>
            </c:ext>
          </c:extLst>
        </c:ser>
        <c:ser>
          <c:idx val="2"/>
          <c:order val="2"/>
          <c:tx>
            <c:v>Project Costs 25 Beds</c:v>
          </c:tx>
          <c:spPr>
            <a:noFill/>
            <a:ln w="19050">
              <a:solidFill>
                <a:srgbClr val="92D050"/>
              </a:solidFill>
            </a:ln>
            <a:effectLst/>
          </c:spPr>
          <c:val>
            <c:numRef>
              <c:f>'10-year cash flow'!$D$45:$L$45</c:f>
              <c:numCache>
                <c:formatCode>_([$$-409]* #,##0_);_([$$-409]* \(#,##0\);_([$$-409]* "-"??_);_(@_)</c:formatCode>
                <c:ptCount val="9"/>
                <c:pt idx="0">
                  <c:v>437500</c:v>
                </c:pt>
                <c:pt idx="1">
                  <c:v>1061238.0611239958</c:v>
                </c:pt>
                <c:pt idx="2">
                  <c:v>2187500</c:v>
                </c:pt>
                <c:pt idx="3">
                  <c:v>6637590.75185881</c:v>
                </c:pt>
                <c:pt idx="4">
                  <c:v>15962233.33305618</c:v>
                </c:pt>
                <c:pt idx="5">
                  <c:v>33034808.519837722</c:v>
                </c:pt>
                <c:pt idx="6">
                  <c:v>71537766.666943818</c:v>
                </c:pt>
                <c:pt idx="7">
                  <c:v>84935179.809256315</c:v>
                </c:pt>
                <c:pt idx="8">
                  <c:v>87500000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8C-4E9A-A6CA-E3525668C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0790152"/>
        <c:axId val="710797696"/>
      </c:areaChart>
      <c:catAx>
        <c:axId val="710790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797696"/>
        <c:crosses val="autoZero"/>
        <c:auto val="1"/>
        <c:lblAlgn val="ctr"/>
        <c:lblOffset val="100"/>
        <c:noMultiLvlLbl val="0"/>
      </c:catAx>
      <c:valAx>
        <c:axId val="71079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[$$-409]* #,##0_);_([$$-409]* \(#,##0\);_([$$-409]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07901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1">
                    <a:lumMod val="50000"/>
                  </a:schemeClr>
                </a:solidFill>
              </a:rPr>
              <a:t>Cumulative Restricted Capital Account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'10-year cash flow'!$A$28</c:f>
              <c:strCache>
                <c:ptCount val="1"/>
                <c:pt idx="0">
                  <c:v>Cumulative Restricted Capital Account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'10-year cash flow'!$B$28:$L$28</c:f>
              <c:numCache>
                <c:formatCode>_("$"* #,##0_);_("$"* \(#,##0\);_("$"* "-"??_);_(@_)</c:formatCode>
                <c:ptCount val="9"/>
                <c:pt idx="0">
                  <c:v>1533086.96</c:v>
                </c:pt>
                <c:pt idx="1">
                  <c:v>2517637.5179000003</c:v>
                </c:pt>
                <c:pt idx="2">
                  <c:v>3457523.0041685002</c:v>
                </c:pt>
                <c:pt idx="3">
                  <c:v>4566502.257731027</c:v>
                </c:pt>
                <c:pt idx="4">
                  <c:v>6820755.1057969918</c:v>
                </c:pt>
                <c:pt idx="5">
                  <c:v>9112430.6943549458</c:v>
                </c:pt>
                <c:pt idx="6">
                  <c:v>11438325.7678454</c:v>
                </c:pt>
                <c:pt idx="7">
                  <c:v>13953881.546475464</c:v>
                </c:pt>
                <c:pt idx="8">
                  <c:v>17080062.289093349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3E-4FE0-94F5-C54883EE8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1164968"/>
        <c:axId val="591168248"/>
      </c:barChart>
      <c:catAx>
        <c:axId val="5911649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1168248"/>
        <c:crosses val="autoZero"/>
        <c:auto val="1"/>
        <c:lblAlgn val="ctr"/>
        <c:lblOffset val="100"/>
        <c:noMultiLvlLbl val="0"/>
      </c:catAx>
      <c:valAx>
        <c:axId val="591168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1164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Debt Service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'Debt Service'!$A$6</c:f>
              <c:strCache>
                <c:ptCount val="1"/>
                <c:pt idx="0">
                  <c:v>Revenue Bonds - 2016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'Debt Service'!$D$2:$L$2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'Debt Service'!$D$6:$L$6</c:f>
              <c:numCache>
                <c:formatCode>_("$"* #,##0_);_("$"* \(#,##0\);_("$"* "-"??_);_(@_)</c:formatCode>
                <c:ptCount val="9"/>
                <c:pt idx="0">
                  <c:v>565000</c:v>
                </c:pt>
                <c:pt idx="1">
                  <c:v>565000</c:v>
                </c:pt>
                <c:pt idx="2">
                  <c:v>565000</c:v>
                </c:pt>
                <c:pt idx="3">
                  <c:v>565000</c:v>
                </c:pt>
                <c:pt idx="4">
                  <c:v>565000</c:v>
                </c:pt>
                <c:pt idx="5">
                  <c:v>565000</c:v>
                </c:pt>
                <c:pt idx="6">
                  <c:v>565000</c:v>
                </c:pt>
                <c:pt idx="7">
                  <c:v>565000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48-4030-A165-25AE0A5D8394}"/>
            </c:ext>
          </c:extLst>
        </c:ser>
        <c:ser>
          <c:idx val="3"/>
          <c:order val="1"/>
          <c:tx>
            <c:strRef>
              <c:f>'Debt Service'!$A$5</c:f>
              <c:strCache>
                <c:ptCount val="1"/>
                <c:pt idx="0">
                  <c:v>HELP II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'Debt Service'!$D$2:$L$2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'Debt Service'!$D$5:$L$5</c:f>
              <c:numCache>
                <c:formatCode>_("$"* #,##0_);_("$"* \(#,##0\);_("$"* "-"??_);_(@_)</c:formatCode>
                <c:ptCount val="9"/>
                <c:pt idx="0">
                  <c:v>165624.24</c:v>
                </c:pt>
                <c:pt idx="1">
                  <c:v>165624.24</c:v>
                </c:pt>
                <c:pt idx="2">
                  <c:v>165624.24</c:v>
                </c:pt>
                <c:pt idx="3">
                  <c:v>165624.24</c:v>
                </c:pt>
                <c:pt idx="4">
                  <c:v>165624.24</c:v>
                </c:pt>
                <c:pt idx="5">
                  <c:v>165624.24</c:v>
                </c:pt>
                <c:pt idx="6">
                  <c:v>165624.24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48-4030-A165-25AE0A5D8394}"/>
            </c:ext>
          </c:extLst>
        </c:ser>
        <c:ser>
          <c:idx val="2"/>
          <c:order val="2"/>
          <c:tx>
            <c:strRef>
              <c:f>'Debt Service'!$A$4</c:f>
              <c:strCache>
                <c:ptCount val="1"/>
                <c:pt idx="0">
                  <c:v>UHC note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'Debt Service'!$D$2:$L$2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'Debt Service'!$D$4:$L$4</c:f>
              <c:numCache>
                <c:formatCode>_("$"* #,##0_);_("$"* \(#,##0\);_("$"* "-"??_);_(@_)</c:formatCode>
                <c:ptCount val="9"/>
                <c:pt idx="0">
                  <c:v>210000</c:v>
                </c:pt>
                <c:pt idx="1">
                  <c:v>210000</c:v>
                </c:pt>
                <c:pt idx="2">
                  <c:v>157500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48-4030-A165-25AE0A5D8394}"/>
            </c:ext>
          </c:extLst>
        </c:ser>
        <c:ser>
          <c:idx val="1"/>
          <c:order val="3"/>
          <c:tx>
            <c:strRef>
              <c:f>'Debt Service'!$A$3</c:f>
              <c:strCache>
                <c:ptCount val="1"/>
                <c:pt idx="0">
                  <c:v>OSHPD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'Debt Service'!$D$2:$L$2</c:f>
              <c:numCache>
                <c:formatCode>General</c:formatCode>
                <c:ptCount val="9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</c:numCache>
            </c:numRef>
          </c:cat>
          <c:val>
            <c:numRef>
              <c:f>'Debt Service'!$D$3:$L$3</c:f>
              <c:numCache>
                <c:formatCode>General</c:formatCode>
                <c:ptCount val="9"/>
                <c:pt idx="0" formatCode="_(&quot;$&quot;* #,##0_);_(&quot;$&quot;* \(#,##0\);_(&quot;$&quot;* &quot;-&quot;??_);_(@_)">
                  <c:v>83016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48-4030-A165-25AE0A5D8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5866344"/>
        <c:axId val="605872904"/>
      </c:barChart>
      <c:lineChart>
        <c:grouping val="standard"/>
        <c:varyColors val="0"/>
        <c:ser>
          <c:idx val="0"/>
          <c:order val="4"/>
          <c:tx>
            <c:v>Total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'Debt Service'!$E$7:$K$7</c:f>
              <c:numCache>
                <c:formatCode>_("$"* #,##0_);_("$"* \(#,##0\);_("$"* "-"??_);_(@_)</c:formatCode>
                <c:ptCount val="7"/>
                <c:pt idx="0">
                  <c:v>940624.24</c:v>
                </c:pt>
                <c:pt idx="1">
                  <c:v>888124.24</c:v>
                </c:pt>
                <c:pt idx="2">
                  <c:v>730624.24</c:v>
                </c:pt>
                <c:pt idx="3">
                  <c:v>730624.24</c:v>
                </c:pt>
                <c:pt idx="4">
                  <c:v>730624.24</c:v>
                </c:pt>
                <c:pt idx="5">
                  <c:v>730624.24</c:v>
                </c:pt>
                <c:pt idx="6">
                  <c:v>565000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48-4030-A165-25AE0A5D8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866344"/>
        <c:axId val="605872904"/>
      </c:lineChart>
      <c:catAx>
        <c:axId val="605866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5872904"/>
        <c:crosses val="autoZero"/>
        <c:auto val="1"/>
        <c:lblAlgn val="ctr"/>
        <c:lblOffset val="100"/>
        <c:noMultiLvlLbl val="0"/>
      </c:catAx>
      <c:valAx>
        <c:axId val="605872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5866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4568022747156608E-2"/>
          <c:y val="0.16708333333333336"/>
          <c:w val="0.9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400050</xdr:colOff>
      <xdr:row>2</xdr:row>
      <xdr:rowOff>40821</xdr:rowOff>
    </xdr:from>
    <xdr:to>
      <xdr:col>18</xdr:col>
      <xdr:colOff>533401</xdr:colOff>
      <xdr:row>17</xdr:row>
      <xdr:rowOff>187778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1EE8962-8F2D-41F4-85DF-26B0B9CE22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819155</xdr:colOff>
      <xdr:row>18</xdr:row>
      <xdr:rowOff>76199</xdr:rowOff>
    </xdr:from>
    <xdr:to>
      <xdr:col>16</xdr:col>
      <xdr:colOff>266699</xdr:colOff>
      <xdr:row>35</xdr:row>
      <xdr:rowOff>76200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E6965A2C-2138-48C6-B7B1-82863D2D4A3B}"/>
            </a:ext>
          </a:extLst>
        </xdr:cNvPr>
        <xdr:cNvGrpSpPr/>
      </xdr:nvGrpSpPr>
      <xdr:grpSpPr>
        <a:xfrm>
          <a:off x="9565826" y="3418113"/>
          <a:ext cx="6909702" cy="3156858"/>
          <a:chOff x="1564825" y="886621"/>
          <a:chExt cx="6909702" cy="3145971"/>
        </a:xfrm>
      </xdr:grpSpPr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07CFE9EC-B675-4F16-9B00-5BF5F28A5963}"/>
              </a:ext>
            </a:extLst>
          </xdr:cNvPr>
          <xdr:cNvGraphicFramePr/>
        </xdr:nvGraphicFramePr>
        <xdr:xfrm>
          <a:off x="1564825" y="886621"/>
          <a:ext cx="5304064" cy="314597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E70AD5F5-C25F-40C6-B7DB-3F7C321951B0}"/>
              </a:ext>
            </a:extLst>
          </xdr:cNvPr>
          <xdr:cNvSpPr txBox="1"/>
        </xdr:nvSpPr>
        <xdr:spPr>
          <a:xfrm>
            <a:off x="7440385" y="1654624"/>
            <a:ext cx="1034142" cy="4299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800" i="1"/>
              <a:t>Lease</a:t>
            </a:r>
            <a:r>
              <a:rPr lang="en-US" sz="800" i="1" baseline="0"/>
              <a:t> Payment Increase</a:t>
            </a:r>
            <a:endParaRPr lang="en-US" sz="800" i="1"/>
          </a:p>
        </xdr:txBody>
      </xdr:sp>
    </xdr:grpSp>
    <xdr:clientData/>
  </xdr:twoCellAnchor>
  <xdr:twoCellAnchor>
    <xdr:from>
      <xdr:col>9</xdr:col>
      <xdr:colOff>419100</xdr:colOff>
      <xdr:row>54</xdr:row>
      <xdr:rowOff>13604</xdr:rowOff>
    </xdr:from>
    <xdr:to>
      <xdr:col>15</xdr:col>
      <xdr:colOff>97968</xdr:colOff>
      <xdr:row>73</xdr:row>
      <xdr:rowOff>48986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553FC02-8380-4AD1-9A3D-E985CA6E83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696684</xdr:colOff>
      <xdr:row>49</xdr:row>
      <xdr:rowOff>92530</xdr:rowOff>
    </xdr:from>
    <xdr:to>
      <xdr:col>17</xdr:col>
      <xdr:colOff>413657</xdr:colOff>
      <xdr:row>69</xdr:row>
      <xdr:rowOff>119742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63B0EE7-D17B-40C7-802A-40EC023F4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2427513</xdr:colOff>
      <xdr:row>16</xdr:row>
      <xdr:rowOff>166006</xdr:rowOff>
    </xdr:from>
    <xdr:to>
      <xdr:col>6</xdr:col>
      <xdr:colOff>332013</xdr:colOff>
      <xdr:row>31</xdr:row>
      <xdr:rowOff>111577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B168FEA9-3856-4BFD-B081-5B0E77E767D6}"/>
            </a:ext>
          </a:extLst>
        </xdr:cNvPr>
        <xdr:cNvGrpSpPr/>
      </xdr:nvGrpSpPr>
      <xdr:grpSpPr>
        <a:xfrm>
          <a:off x="2427513" y="3126920"/>
          <a:ext cx="4572000" cy="2743200"/>
          <a:chOff x="2427513" y="3126920"/>
          <a:chExt cx="4572000" cy="2743200"/>
        </a:xfrm>
      </xdr:grpSpPr>
      <xdr:graphicFrame macro="">
        <xdr:nvGraphicFramePr>
          <xdr:cNvPr id="7" name="Chart 6">
            <a:extLst>
              <a:ext uri="{FF2B5EF4-FFF2-40B4-BE49-F238E27FC236}">
                <a16:creationId xmlns:a16="http://schemas.microsoft.com/office/drawing/2014/main" id="{005CDDD1-0702-491C-B44B-ED3104AC197B}"/>
              </a:ext>
            </a:extLst>
          </xdr:cNvPr>
          <xdr:cNvGraphicFramePr/>
        </xdr:nvGraphicFramePr>
        <xdr:xfrm>
          <a:off x="2427513" y="312692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FECFE753-283B-45DF-9F0B-FF22A9D6F2B9}"/>
              </a:ext>
            </a:extLst>
          </xdr:cNvPr>
          <xdr:cNvSpPr txBox="1"/>
        </xdr:nvSpPr>
        <xdr:spPr>
          <a:xfrm>
            <a:off x="3423558" y="3679370"/>
            <a:ext cx="1910442" cy="82731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000"/>
              <a:t>Current</a:t>
            </a:r>
            <a:r>
              <a:rPr lang="en-US" sz="1000" baseline="0"/>
              <a:t> Cash Assets (net, unrestriced) of District are $8.6M. The total available for a new facility will be $24M.</a:t>
            </a:r>
            <a:endParaRPr lang="en-US" sz="1000"/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0.85839</cdr:x>
      <cdr:y>0.69204</cdr:y>
    </cdr:from>
    <cdr:to>
      <cdr:x>1</cdr:x>
      <cdr:y>0.85467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9FA814C-68E7-4544-A7C3-8B0E899CBD0E}"/>
            </a:ext>
          </a:extLst>
        </cdr:cNvPr>
        <cdr:cNvSpPr txBox="1"/>
      </cdr:nvSpPr>
      <cdr:spPr>
        <a:xfrm xmlns:a="http://schemas.openxmlformats.org/drawingml/2006/main">
          <a:off x="4552950" y="2177145"/>
          <a:ext cx="751114" cy="51162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i="1">
              <a:solidFill>
                <a:srgbClr val="C00000"/>
              </a:solidFill>
            </a:rPr>
            <a:t>All</a:t>
          </a:r>
          <a:r>
            <a:rPr lang="en-US" sz="900" i="1" baseline="0">
              <a:solidFill>
                <a:srgbClr val="C00000"/>
              </a:solidFill>
            </a:rPr>
            <a:t> l</a:t>
          </a:r>
          <a:r>
            <a:rPr lang="en-US" sz="900" i="1">
              <a:solidFill>
                <a:srgbClr val="C00000"/>
              </a:solidFill>
            </a:rPr>
            <a:t>ong</a:t>
          </a:r>
          <a:r>
            <a:rPr lang="en-US" sz="900" i="1" baseline="0">
              <a:solidFill>
                <a:srgbClr val="C00000"/>
              </a:solidFill>
            </a:rPr>
            <a:t> term debt retired</a:t>
          </a:r>
          <a:endParaRPr lang="en-US" sz="900" i="1">
            <a:solidFill>
              <a:srgbClr val="C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0.14439</cdr:x>
      <cdr:y>0.7479</cdr:y>
    </cdr:from>
    <cdr:to>
      <cdr:x>0.15694</cdr:x>
      <cdr:y>0.8877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1FD6BA6D-B984-4944-9068-317008432D4B}"/>
            </a:ext>
          </a:extLst>
        </cdr:cNvPr>
        <cdr:cNvSpPr/>
      </cdr:nvSpPr>
      <cdr:spPr>
        <a:xfrm xmlns:a="http://schemas.openxmlformats.org/drawingml/2006/main">
          <a:off x="781178" y="2664283"/>
          <a:ext cx="67909" cy="49801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0.1461</cdr:x>
      <cdr:y>0.7488</cdr:y>
    </cdr:from>
    <cdr:to>
      <cdr:x>0.3</cdr:x>
      <cdr:y>0.87253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8D33BCE9-9AEB-4A1A-A9D7-1BEC5492D42B}"/>
            </a:ext>
          </a:extLst>
        </cdr:cNvPr>
        <cdr:cNvSpPr txBox="1"/>
      </cdr:nvSpPr>
      <cdr:spPr>
        <a:xfrm xmlns:a="http://schemas.openxmlformats.org/drawingml/2006/main">
          <a:off x="763376" y="2663427"/>
          <a:ext cx="804149" cy="4400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Current Cash Assets</a:t>
          </a:r>
        </a:p>
      </cdr:txBody>
    </cdr:sp>
  </cdr:relSizeAnchor>
  <cdr:relSizeAnchor xmlns:cdr="http://schemas.openxmlformats.org/drawingml/2006/chartDrawing">
    <cdr:from>
      <cdr:x>0.30729</cdr:x>
      <cdr:y>0.52756</cdr:y>
    </cdr:from>
    <cdr:to>
      <cdr:x>0.68958</cdr:x>
      <cdr:y>0.67607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2759DD7B-62FD-494F-B02F-5E71085285E1}"/>
            </a:ext>
          </a:extLst>
        </cdr:cNvPr>
        <cdr:cNvSpPr txBox="1"/>
      </cdr:nvSpPr>
      <cdr:spPr>
        <a:xfrm xmlns:a="http://schemas.openxmlformats.org/drawingml/2006/main">
          <a:off x="1605643" y="1876485"/>
          <a:ext cx="1997527" cy="528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>
              <a:solidFill>
                <a:schemeClr val="accent1">
                  <a:lumMod val="75000"/>
                </a:schemeClr>
              </a:solidFill>
            </a:rPr>
            <a:t>Cumulative</a:t>
          </a:r>
          <a:r>
            <a:rPr lang="en-US" sz="1100" b="1" baseline="0">
              <a:solidFill>
                <a:schemeClr val="accent1">
                  <a:lumMod val="75000"/>
                </a:schemeClr>
              </a:solidFill>
            </a:rPr>
            <a:t> Restricted Capital  plus Current Cash Assets</a:t>
          </a:r>
          <a:endParaRPr lang="en-US" sz="1100" b="1">
            <a:solidFill>
              <a:schemeClr val="accent1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0.60104</cdr:x>
      <cdr:y>0.31027</cdr:y>
    </cdr:from>
    <cdr:to>
      <cdr:x>0.84063</cdr:x>
      <cdr:y>0.45878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CE12F23C-F8B9-4BCC-9406-AE2F36ED83A0}"/>
            </a:ext>
          </a:extLst>
        </cdr:cNvPr>
        <cdr:cNvSpPr txBox="1"/>
      </cdr:nvSpPr>
      <cdr:spPr>
        <a:xfrm xmlns:a="http://schemas.openxmlformats.org/drawingml/2006/main">
          <a:off x="3140527" y="1103599"/>
          <a:ext cx="1251859" cy="528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/>
            <a:t>$10 million</a:t>
          </a:r>
          <a:r>
            <a:rPr lang="en-US" sz="1100" baseline="0"/>
            <a:t> to be financed</a:t>
          </a:r>
          <a:endParaRPr 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0.14286</cdr:x>
      <cdr:y>0.80378</cdr:y>
    </cdr:from>
    <cdr:to>
      <cdr:x>0.15799</cdr:x>
      <cdr:y>0.8877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1FD6BA6D-B984-4944-9068-317008432D4B}"/>
            </a:ext>
          </a:extLst>
        </cdr:cNvPr>
        <cdr:cNvSpPr/>
      </cdr:nvSpPr>
      <cdr:spPr>
        <a:xfrm xmlns:a="http://schemas.openxmlformats.org/drawingml/2006/main">
          <a:off x="821888" y="3009901"/>
          <a:ext cx="87071" cy="31425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0.13664</cdr:x>
      <cdr:y>0.66595</cdr:y>
    </cdr:from>
    <cdr:to>
      <cdr:x>0.29054</cdr:x>
      <cdr:y>0.78968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8D33BCE9-9AEB-4A1A-A9D7-1BEC5492D42B}"/>
            </a:ext>
          </a:extLst>
        </cdr:cNvPr>
        <cdr:cNvSpPr txBox="1"/>
      </cdr:nvSpPr>
      <cdr:spPr>
        <a:xfrm xmlns:a="http://schemas.openxmlformats.org/drawingml/2006/main">
          <a:off x="786100" y="2493776"/>
          <a:ext cx="885402" cy="463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Current Cash Assets</a:t>
          </a:r>
        </a:p>
      </cdr:txBody>
    </cdr:sp>
  </cdr:relSizeAnchor>
  <cdr:relSizeAnchor xmlns:cdr="http://schemas.openxmlformats.org/drawingml/2006/chartDrawing">
    <cdr:from>
      <cdr:x>0.29499</cdr:x>
      <cdr:y>0.57262</cdr:y>
    </cdr:from>
    <cdr:to>
      <cdr:x>0.67728</cdr:x>
      <cdr:y>0.72113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2759DD7B-62FD-494F-B02F-5E71085285E1}"/>
            </a:ext>
          </a:extLst>
        </cdr:cNvPr>
        <cdr:cNvSpPr txBox="1"/>
      </cdr:nvSpPr>
      <cdr:spPr>
        <a:xfrm xmlns:a="http://schemas.openxmlformats.org/drawingml/2006/main">
          <a:off x="1697113" y="2144274"/>
          <a:ext cx="2199353" cy="556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>
              <a:solidFill>
                <a:schemeClr val="accent1">
                  <a:lumMod val="75000"/>
                </a:schemeClr>
              </a:solidFill>
            </a:rPr>
            <a:t>Cumulative</a:t>
          </a:r>
          <a:r>
            <a:rPr lang="en-US" sz="1100" b="1" baseline="0">
              <a:solidFill>
                <a:schemeClr val="accent1">
                  <a:lumMod val="75000"/>
                </a:schemeClr>
              </a:solidFill>
            </a:rPr>
            <a:t> Restricted Capital  plus Current Cash Assets</a:t>
          </a:r>
          <a:endParaRPr lang="en-US" sz="1100" b="1">
            <a:solidFill>
              <a:schemeClr val="accent1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0.72679</cdr:x>
      <cdr:y>0.47681</cdr:y>
    </cdr:from>
    <cdr:to>
      <cdr:x>0.96638</cdr:x>
      <cdr:y>0.62532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CE12F23C-F8B9-4BCC-9406-AE2F36ED83A0}"/>
            </a:ext>
          </a:extLst>
        </cdr:cNvPr>
        <cdr:cNvSpPr txBox="1"/>
      </cdr:nvSpPr>
      <cdr:spPr>
        <a:xfrm xmlns:a="http://schemas.openxmlformats.org/drawingml/2006/main">
          <a:off x="3932102" y="1698562"/>
          <a:ext cx="1296229" cy="529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chemeClr val="accent2"/>
              </a:solidFill>
            </a:rPr>
            <a:t>$10 million</a:t>
          </a:r>
          <a:r>
            <a:rPr lang="en-US" sz="1100" baseline="0">
              <a:solidFill>
                <a:schemeClr val="accent2"/>
              </a:solidFill>
            </a:rPr>
            <a:t> to be financed</a:t>
          </a:r>
          <a:endParaRPr lang="en-US" sz="1100">
            <a:solidFill>
              <a:schemeClr val="accent2"/>
            </a:solidFill>
          </a:endParaRPr>
        </a:p>
      </cdr:txBody>
    </cdr:sp>
  </cdr:relSizeAnchor>
  <cdr:relSizeAnchor xmlns:cdr="http://schemas.openxmlformats.org/drawingml/2006/chartDrawing">
    <cdr:from>
      <cdr:x>0.59382</cdr:x>
      <cdr:y>0.2654</cdr:y>
    </cdr:from>
    <cdr:to>
      <cdr:x>0.83341</cdr:x>
      <cdr:y>0.41391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067E8308-C66A-4330-847D-16031EFFAB3E}"/>
            </a:ext>
          </a:extLst>
        </cdr:cNvPr>
        <cdr:cNvSpPr txBox="1"/>
      </cdr:nvSpPr>
      <cdr:spPr>
        <a:xfrm xmlns:a="http://schemas.openxmlformats.org/drawingml/2006/main">
          <a:off x="3416296" y="993857"/>
          <a:ext cx="1378385" cy="556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chemeClr val="accent6"/>
              </a:solidFill>
            </a:rPr>
            <a:t>$62 million</a:t>
          </a:r>
          <a:r>
            <a:rPr lang="en-US" sz="1100" baseline="0">
              <a:solidFill>
                <a:schemeClr val="accent6"/>
              </a:solidFill>
            </a:rPr>
            <a:t> to be financed</a:t>
          </a:r>
          <a:endParaRPr lang="en-US" sz="1100">
            <a:solidFill>
              <a:schemeClr val="accent6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1325334</xdr:colOff>
      <xdr:row>9</xdr:row>
      <xdr:rowOff>19050</xdr:rowOff>
    </xdr:from>
    <xdr:to>
      <xdr:col>7</xdr:col>
      <xdr:colOff>84363</xdr:colOff>
      <xdr:row>23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2A585AF-C048-4A77-9B67-8CA78B06E2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308066</xdr:colOff>
      <xdr:row>1</xdr:row>
      <xdr:rowOff>96883</xdr:rowOff>
    </xdr:from>
    <xdr:to>
      <xdr:col>19</xdr:col>
      <xdr:colOff>580370</xdr:colOff>
      <xdr:row>14</xdr:row>
      <xdr:rowOff>104566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28DB2E-6C28-4F96-941D-12F65F9C8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6423" y="281940"/>
          <a:ext cx="5758704" cy="24145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r/Desktop/Hospital/District%20Bills/Bills%20pa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2"/>
    </sheetNames>
    <sheetDataSet>
      <sheetData sheetId="0"/>
      <sheetData sheetId="1">
        <row r="17">
          <cell r="I17">
            <v>1605</v>
          </cell>
        </row>
        <row r="18">
          <cell r="I18">
            <v>5816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FFD6F-CB8E-4B03-9B5A-A70FBD1B0B61}">
  <dimension ref="A1:Q40"/>
  <sheetViews>
    <sheetView topLeftCell="A21" workbookViewId="0">
      <selection activeCell="B15" sqref="B15"/>
    </sheetView>
  </sheetViews>
  <sheetFormatPr defaultRowHeight="14.6" x14ac:dyDescent="0.4"/>
  <cols>
    <col min="1" max="1" width="36" bestFit="1" customWidth="1"/>
    <col min="2" max="2" width="8.53515625" bestFit="1" customWidth="1"/>
    <col min="3" max="3" width="16.3046875" bestFit="1" customWidth="1"/>
    <col min="4" max="4" width="12.07421875" style="43" bestFit="1" customWidth="1"/>
    <col min="5" max="13" width="9.84375" style="43" bestFit="1" customWidth="1"/>
    <col min="14" max="14" width="12.3046875" style="43" bestFit="1" customWidth="1"/>
    <col min="15" max="15" width="13" style="43" customWidth="1"/>
    <col min="16" max="16" width="13" customWidth="1"/>
    <col min="17" max="17" width="9.53515625" bestFit="1" customWidth="1"/>
  </cols>
  <sheetData>
    <row r="1" spans="1:16" ht="15" thickBot="1" x14ac:dyDescent="0.45">
      <c r="A1" s="52"/>
      <c r="B1" s="52"/>
      <c r="C1" s="52"/>
      <c r="D1" s="70" t="s">
        <v>93</v>
      </c>
      <c r="E1" s="70"/>
      <c r="F1" s="70"/>
      <c r="G1" s="70"/>
      <c r="H1" s="70"/>
      <c r="I1" s="70"/>
      <c r="J1" s="70" t="s">
        <v>92</v>
      </c>
      <c r="K1" s="66"/>
      <c r="L1" s="66"/>
      <c r="M1" s="66"/>
      <c r="N1" s="66"/>
      <c r="O1" s="66"/>
      <c r="P1" s="52"/>
    </row>
    <row r="2" spans="1:16" ht="15" thickBot="1" x14ac:dyDescent="0.45">
      <c r="A2" s="52"/>
      <c r="B2" s="178" t="s">
        <v>85</v>
      </c>
      <c r="C2" s="179"/>
      <c r="D2" s="74" t="s">
        <v>142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6"/>
      <c r="P2" s="53" t="s">
        <v>88</v>
      </c>
    </row>
    <row r="3" spans="1:16" ht="15" thickBot="1" x14ac:dyDescent="0.45">
      <c r="A3" s="52" t="s">
        <v>70</v>
      </c>
      <c r="B3" s="52"/>
      <c r="C3" s="52"/>
      <c r="D3" s="88" t="s">
        <v>73</v>
      </c>
      <c r="E3" s="77" t="s">
        <v>79</v>
      </c>
      <c r="F3" s="77" t="s">
        <v>80</v>
      </c>
      <c r="G3" s="77" t="s">
        <v>78</v>
      </c>
      <c r="H3" s="77" t="s">
        <v>76</v>
      </c>
      <c r="I3" s="77" t="s">
        <v>77</v>
      </c>
      <c r="J3" s="77" t="s">
        <v>81</v>
      </c>
      <c r="K3" s="77" t="s">
        <v>82</v>
      </c>
      <c r="L3" s="77" t="s">
        <v>83</v>
      </c>
      <c r="M3" s="77" t="s">
        <v>84</v>
      </c>
      <c r="N3" s="77" t="s">
        <v>71</v>
      </c>
      <c r="O3" s="78" t="s">
        <v>72</v>
      </c>
      <c r="P3" s="52"/>
    </row>
    <row r="4" spans="1:16" x14ac:dyDescent="0.4">
      <c r="A4" s="52"/>
      <c r="B4" s="52"/>
      <c r="C4" s="52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52"/>
    </row>
    <row r="5" spans="1:16" x14ac:dyDescent="0.4">
      <c r="A5" s="63" t="s">
        <v>74</v>
      </c>
      <c r="B5" s="52"/>
      <c r="C5" s="52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52"/>
    </row>
    <row r="6" spans="1:16" x14ac:dyDescent="0.4">
      <c r="A6" s="52" t="s">
        <v>97</v>
      </c>
      <c r="B6" s="52"/>
      <c r="C6" s="52"/>
      <c r="D6" s="50">
        <v>250000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6" x14ac:dyDescent="0.4">
      <c r="A7" s="52" t="s">
        <v>98</v>
      </c>
      <c r="B7" s="79">
        <f>0.44%</f>
        <v>4.4000000000000003E-3</v>
      </c>
      <c r="C7" s="50">
        <f>'Cash Assets'!B4</f>
        <v>3473565</v>
      </c>
      <c r="D7" s="50">
        <f>B7*C7/12</f>
        <v>1273.6405000000002</v>
      </c>
      <c r="E7" s="50">
        <f>D7</f>
        <v>1273.6405000000002</v>
      </c>
      <c r="F7" s="50">
        <f t="shared" ref="F7:O7" si="0">E7</f>
        <v>1273.6405000000002</v>
      </c>
      <c r="G7" s="50">
        <f t="shared" si="0"/>
        <v>1273.6405000000002</v>
      </c>
      <c r="H7" s="50">
        <f t="shared" si="0"/>
        <v>1273.6405000000002</v>
      </c>
      <c r="I7" s="50">
        <f t="shared" si="0"/>
        <v>1273.6405000000002</v>
      </c>
      <c r="J7" s="50">
        <f t="shared" si="0"/>
        <v>1273.6405000000002</v>
      </c>
      <c r="K7" s="50">
        <f t="shared" si="0"/>
        <v>1273.6405000000002</v>
      </c>
      <c r="L7" s="50">
        <f t="shared" si="0"/>
        <v>1273.6405000000002</v>
      </c>
      <c r="M7" s="50">
        <f t="shared" si="0"/>
        <v>1273.6405000000002</v>
      </c>
      <c r="N7" s="50">
        <f t="shared" si="0"/>
        <v>1273.6405000000002</v>
      </c>
      <c r="O7" s="50">
        <f t="shared" si="0"/>
        <v>1273.6405000000002</v>
      </c>
      <c r="P7" s="50">
        <f>SUM(D7:O7)</f>
        <v>15283.686</v>
      </c>
    </row>
    <row r="8" spans="1:16" x14ac:dyDescent="0.4">
      <c r="A8" s="137" t="s">
        <v>107</v>
      </c>
      <c r="B8" s="52"/>
      <c r="C8" s="52"/>
      <c r="D8" s="50">
        <f>D6+D7</f>
        <v>251273.64050000001</v>
      </c>
      <c r="E8" s="50">
        <f t="shared" ref="E8:O8" si="1">E6+E7</f>
        <v>1273.6405000000002</v>
      </c>
      <c r="F8" s="50">
        <f t="shared" si="1"/>
        <v>1273.6405000000002</v>
      </c>
      <c r="G8" s="50">
        <f t="shared" si="1"/>
        <v>1273.6405000000002</v>
      </c>
      <c r="H8" s="50">
        <f t="shared" si="1"/>
        <v>1273.6405000000002</v>
      </c>
      <c r="I8" s="50">
        <f t="shared" si="1"/>
        <v>1273.6405000000002</v>
      </c>
      <c r="J8" s="50">
        <f t="shared" si="1"/>
        <v>1273.6405000000002</v>
      </c>
      <c r="K8" s="50">
        <f t="shared" si="1"/>
        <v>1273.6405000000002</v>
      </c>
      <c r="L8" s="50">
        <f t="shared" si="1"/>
        <v>1273.6405000000002</v>
      </c>
      <c r="M8" s="50">
        <f t="shared" si="1"/>
        <v>1273.6405000000002</v>
      </c>
      <c r="N8" s="50">
        <f t="shared" si="1"/>
        <v>1273.6405000000002</v>
      </c>
      <c r="O8" s="50">
        <f t="shared" si="1"/>
        <v>1273.6405000000002</v>
      </c>
      <c r="P8" s="50">
        <f>SUM(D8:O8)</f>
        <v>265283.68600000005</v>
      </c>
    </row>
    <row r="9" spans="1:16" x14ac:dyDescent="0.4">
      <c r="A9" s="137"/>
      <c r="B9" s="52"/>
      <c r="C9" s="52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</row>
    <row r="10" spans="1:16" x14ac:dyDescent="0.4">
      <c r="A10" s="63" t="s">
        <v>99</v>
      </c>
      <c r="B10" s="52"/>
      <c r="C10" s="52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</row>
    <row r="11" spans="1:16" x14ac:dyDescent="0.4">
      <c r="A11" s="52" t="s">
        <v>151</v>
      </c>
      <c r="B11" s="81"/>
      <c r="C11" s="50">
        <v>80000</v>
      </c>
      <c r="D11" s="50"/>
      <c r="E11" s="50"/>
      <c r="F11" s="50">
        <f>$C$11/12</f>
        <v>6666.666666666667</v>
      </c>
      <c r="G11" s="50">
        <f t="shared" ref="G11:O11" si="2">$C$11/12</f>
        <v>6666.666666666667</v>
      </c>
      <c r="H11" s="50">
        <f t="shared" si="2"/>
        <v>6666.666666666667</v>
      </c>
      <c r="I11" s="50">
        <f t="shared" si="2"/>
        <v>6666.666666666667</v>
      </c>
      <c r="J11" s="50">
        <f t="shared" si="2"/>
        <v>6666.666666666667</v>
      </c>
      <c r="K11" s="50">
        <f t="shared" si="2"/>
        <v>6666.666666666667</v>
      </c>
      <c r="L11" s="50">
        <f t="shared" si="2"/>
        <v>6666.666666666667</v>
      </c>
      <c r="M11" s="50">
        <f t="shared" si="2"/>
        <v>6666.666666666667</v>
      </c>
      <c r="N11" s="50">
        <f t="shared" si="2"/>
        <v>6666.666666666667</v>
      </c>
      <c r="O11" s="50">
        <f t="shared" si="2"/>
        <v>6666.666666666667</v>
      </c>
      <c r="P11" s="50">
        <f>SUM(D11:O11)</f>
        <v>66666.666666666657</v>
      </c>
    </row>
    <row r="12" spans="1:16" x14ac:dyDescent="0.4">
      <c r="A12" s="52" t="s">
        <v>119</v>
      </c>
      <c r="B12" s="82">
        <v>600</v>
      </c>
      <c r="C12" s="52">
        <v>6</v>
      </c>
      <c r="D12" s="50">
        <f>C12*B12</f>
        <v>3600</v>
      </c>
      <c r="E12" s="50">
        <f>D12</f>
        <v>3600</v>
      </c>
      <c r="F12" s="50">
        <f t="shared" ref="F12:O12" si="3">E12</f>
        <v>3600</v>
      </c>
      <c r="G12" s="50">
        <f t="shared" si="3"/>
        <v>3600</v>
      </c>
      <c r="H12" s="50">
        <f t="shared" si="3"/>
        <v>3600</v>
      </c>
      <c r="I12" s="50">
        <f t="shared" si="3"/>
        <v>3600</v>
      </c>
      <c r="J12" s="50">
        <f t="shared" si="3"/>
        <v>3600</v>
      </c>
      <c r="K12" s="50">
        <f t="shared" si="3"/>
        <v>3600</v>
      </c>
      <c r="L12" s="50">
        <f t="shared" si="3"/>
        <v>3600</v>
      </c>
      <c r="M12" s="50">
        <f t="shared" si="3"/>
        <v>3600</v>
      </c>
      <c r="N12" s="50">
        <f t="shared" si="3"/>
        <v>3600</v>
      </c>
      <c r="O12" s="50">
        <f t="shared" si="3"/>
        <v>3600</v>
      </c>
      <c r="P12" s="50">
        <f>SUM(D12:O12)</f>
        <v>43200</v>
      </c>
    </row>
    <row r="13" spans="1:16" x14ac:dyDescent="0.4">
      <c r="A13" s="52" t="s">
        <v>144</v>
      </c>
      <c r="B13" s="50">
        <v>500</v>
      </c>
      <c r="C13" s="52"/>
      <c r="D13" s="66">
        <f>$B$13</f>
        <v>500</v>
      </c>
      <c r="E13" s="66">
        <f t="shared" ref="E13:O13" si="4">$B$13</f>
        <v>500</v>
      </c>
      <c r="F13" s="66">
        <f t="shared" si="4"/>
        <v>500</v>
      </c>
      <c r="G13" s="66">
        <f t="shared" si="4"/>
        <v>500</v>
      </c>
      <c r="H13" s="66">
        <f t="shared" si="4"/>
        <v>500</v>
      </c>
      <c r="I13" s="66">
        <f t="shared" si="4"/>
        <v>500</v>
      </c>
      <c r="J13" s="66">
        <f t="shared" si="4"/>
        <v>500</v>
      </c>
      <c r="K13" s="66">
        <f t="shared" si="4"/>
        <v>500</v>
      </c>
      <c r="L13" s="66">
        <f t="shared" si="4"/>
        <v>500</v>
      </c>
      <c r="M13" s="66">
        <f t="shared" si="4"/>
        <v>500</v>
      </c>
      <c r="N13" s="66">
        <f t="shared" si="4"/>
        <v>500</v>
      </c>
      <c r="O13" s="66">
        <f t="shared" si="4"/>
        <v>500</v>
      </c>
      <c r="P13" s="50">
        <f>SUM(D13:O13)</f>
        <v>6000</v>
      </c>
    </row>
    <row r="14" spans="1:16" x14ac:dyDescent="0.4">
      <c r="A14" s="52" t="s">
        <v>152</v>
      </c>
      <c r="B14" s="50">
        <v>9000</v>
      </c>
      <c r="C14" s="52" t="s">
        <v>121</v>
      </c>
      <c r="D14" s="66">
        <f>$B$14</f>
        <v>9000</v>
      </c>
      <c r="E14" s="66">
        <f t="shared" ref="E14:O14" si="5">$B$14</f>
        <v>9000</v>
      </c>
      <c r="F14" s="66">
        <f t="shared" si="5"/>
        <v>9000</v>
      </c>
      <c r="G14" s="66">
        <f t="shared" si="5"/>
        <v>9000</v>
      </c>
      <c r="H14" s="66">
        <f t="shared" si="5"/>
        <v>9000</v>
      </c>
      <c r="I14" s="66">
        <f t="shared" si="5"/>
        <v>9000</v>
      </c>
      <c r="J14" s="66">
        <f t="shared" si="5"/>
        <v>9000</v>
      </c>
      <c r="K14" s="66">
        <f t="shared" si="5"/>
        <v>9000</v>
      </c>
      <c r="L14" s="66">
        <f t="shared" si="5"/>
        <v>9000</v>
      </c>
      <c r="M14" s="66">
        <f t="shared" si="5"/>
        <v>9000</v>
      </c>
      <c r="N14" s="66">
        <f t="shared" si="5"/>
        <v>9000</v>
      </c>
      <c r="O14" s="66">
        <f t="shared" si="5"/>
        <v>9000</v>
      </c>
      <c r="P14" s="50">
        <f t="shared" ref="P14:P19" si="6">SUM(D14:O14)</f>
        <v>108000</v>
      </c>
    </row>
    <row r="15" spans="1:16" x14ac:dyDescent="0.4">
      <c r="A15" s="52" t="s">
        <v>140</v>
      </c>
      <c r="B15" s="50">
        <v>27000</v>
      </c>
      <c r="C15" s="52" t="s">
        <v>141</v>
      </c>
      <c r="D15" s="50"/>
      <c r="E15" s="50"/>
      <c r="F15" s="50"/>
      <c r="G15" s="50"/>
      <c r="H15" s="50"/>
      <c r="I15" s="50">
        <f>B15</f>
        <v>27000</v>
      </c>
      <c r="J15" s="50"/>
      <c r="K15" s="50"/>
      <c r="L15" s="50"/>
      <c r="M15" s="50"/>
      <c r="N15" s="50"/>
      <c r="O15" s="50"/>
      <c r="P15" s="50">
        <f t="shared" si="6"/>
        <v>27000</v>
      </c>
    </row>
    <row r="16" spans="1:16" x14ac:dyDescent="0.4">
      <c r="A16" s="52" t="s">
        <v>100</v>
      </c>
      <c r="B16" s="50">
        <v>22022</v>
      </c>
      <c r="C16" s="52" t="s">
        <v>122</v>
      </c>
      <c r="D16" s="50">
        <f>B16</f>
        <v>22022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>
        <f t="shared" si="6"/>
        <v>22022</v>
      </c>
    </row>
    <row r="17" spans="1:17" x14ac:dyDescent="0.4">
      <c r="A17" s="52" t="s">
        <v>101</v>
      </c>
      <c r="B17" s="50">
        <v>10189</v>
      </c>
      <c r="C17" s="52" t="s">
        <v>122</v>
      </c>
      <c r="D17" s="50">
        <f>$B$17</f>
        <v>10189</v>
      </c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>
        <f t="shared" si="6"/>
        <v>10189</v>
      </c>
    </row>
    <row r="18" spans="1:17" x14ac:dyDescent="0.4">
      <c r="A18" s="52" t="s">
        <v>275</v>
      </c>
      <c r="B18" s="85">
        <v>16679.91</v>
      </c>
      <c r="C18" s="52" t="s">
        <v>122</v>
      </c>
      <c r="D18" s="50">
        <f>B18</f>
        <v>16679.91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>
        <f t="shared" si="6"/>
        <v>16679.91</v>
      </c>
    </row>
    <row r="19" spans="1:17" x14ac:dyDescent="0.4">
      <c r="A19" s="52" t="s">
        <v>61</v>
      </c>
      <c r="B19" s="87" t="s">
        <v>145</v>
      </c>
      <c r="C19" s="87"/>
      <c r="D19" s="66"/>
      <c r="E19" s="66"/>
      <c r="F19" s="66"/>
      <c r="G19" s="66"/>
      <c r="H19" s="66"/>
      <c r="I19" s="66"/>
      <c r="J19" s="50">
        <v>1000</v>
      </c>
      <c r="K19" s="50">
        <v>1000</v>
      </c>
      <c r="L19" s="50">
        <v>1000</v>
      </c>
      <c r="M19" s="50">
        <v>1000</v>
      </c>
      <c r="N19" s="50">
        <v>1000</v>
      </c>
      <c r="O19" s="50">
        <v>1000</v>
      </c>
      <c r="P19" s="50">
        <f t="shared" si="6"/>
        <v>6000</v>
      </c>
    </row>
    <row r="20" spans="1:17" x14ac:dyDescent="0.4">
      <c r="A20" s="52" t="s">
        <v>120</v>
      </c>
      <c r="B20" s="87" t="s">
        <v>146</v>
      </c>
      <c r="C20" s="87"/>
      <c r="D20" s="66"/>
      <c r="E20" s="66"/>
      <c r="F20" s="66"/>
      <c r="G20" s="66"/>
      <c r="H20" s="66"/>
      <c r="I20" s="66"/>
      <c r="J20" s="50">
        <v>2000</v>
      </c>
      <c r="K20" s="66"/>
      <c r="L20" s="66"/>
      <c r="M20" s="66"/>
      <c r="N20" s="66"/>
      <c r="O20" s="66"/>
      <c r="P20" s="52"/>
    </row>
    <row r="21" spans="1:17" x14ac:dyDescent="0.4">
      <c r="A21" s="52" t="s">
        <v>102</v>
      </c>
      <c r="B21" s="50">
        <v>50</v>
      </c>
      <c r="C21" s="52" t="s">
        <v>121</v>
      </c>
      <c r="D21" s="66">
        <f>B21</f>
        <v>50</v>
      </c>
      <c r="E21" s="66">
        <f>D21</f>
        <v>50</v>
      </c>
      <c r="F21" s="66">
        <f t="shared" ref="F21:O21" si="7">E21</f>
        <v>50</v>
      </c>
      <c r="G21" s="66">
        <f t="shared" si="7"/>
        <v>50</v>
      </c>
      <c r="H21" s="66">
        <f t="shared" si="7"/>
        <v>50</v>
      </c>
      <c r="I21" s="66">
        <f t="shared" si="7"/>
        <v>50</v>
      </c>
      <c r="J21" s="66">
        <f t="shared" si="7"/>
        <v>50</v>
      </c>
      <c r="K21" s="66">
        <f t="shared" si="7"/>
        <v>50</v>
      </c>
      <c r="L21" s="66">
        <f t="shared" si="7"/>
        <v>50</v>
      </c>
      <c r="M21" s="66">
        <f t="shared" si="7"/>
        <v>50</v>
      </c>
      <c r="N21" s="66">
        <f t="shared" si="7"/>
        <v>50</v>
      </c>
      <c r="O21" s="66">
        <f t="shared" si="7"/>
        <v>50</v>
      </c>
      <c r="P21" s="50">
        <f t="shared" ref="P21:P30" si="8">SUM(D21:O21)</f>
        <v>600</v>
      </c>
    </row>
    <row r="22" spans="1:17" x14ac:dyDescent="0.4">
      <c r="A22" s="52" t="s">
        <v>103</v>
      </c>
      <c r="B22" s="50">
        <v>100</v>
      </c>
      <c r="C22" s="52" t="s">
        <v>121</v>
      </c>
      <c r="D22" s="66">
        <f>$B$22</f>
        <v>100</v>
      </c>
      <c r="E22" s="66">
        <f t="shared" ref="E22:O22" si="9">$B$22</f>
        <v>100</v>
      </c>
      <c r="F22" s="66">
        <f t="shared" si="9"/>
        <v>100</v>
      </c>
      <c r="G22" s="66">
        <f t="shared" si="9"/>
        <v>100</v>
      </c>
      <c r="H22" s="66">
        <f t="shared" si="9"/>
        <v>100</v>
      </c>
      <c r="I22" s="66">
        <f t="shared" si="9"/>
        <v>100</v>
      </c>
      <c r="J22" s="66">
        <f t="shared" si="9"/>
        <v>100</v>
      </c>
      <c r="K22" s="66">
        <f t="shared" si="9"/>
        <v>100</v>
      </c>
      <c r="L22" s="66">
        <f t="shared" si="9"/>
        <v>100</v>
      </c>
      <c r="M22" s="66">
        <f t="shared" si="9"/>
        <v>100</v>
      </c>
      <c r="N22" s="66">
        <f t="shared" si="9"/>
        <v>100</v>
      </c>
      <c r="O22" s="66">
        <f t="shared" si="9"/>
        <v>100</v>
      </c>
      <c r="P22" s="50">
        <f t="shared" si="8"/>
        <v>1200</v>
      </c>
    </row>
    <row r="23" spans="1:17" x14ac:dyDescent="0.4">
      <c r="A23" s="52" t="s">
        <v>118</v>
      </c>
      <c r="B23" s="50">
        <v>5000</v>
      </c>
      <c r="C23" s="52" t="s">
        <v>138</v>
      </c>
      <c r="D23" s="50">
        <f>B23</f>
        <v>5000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50">
        <f t="shared" si="8"/>
        <v>5000</v>
      </c>
    </row>
    <row r="24" spans="1:17" x14ac:dyDescent="0.4">
      <c r="A24" s="52" t="s">
        <v>147</v>
      </c>
      <c r="B24" s="50">
        <v>15000</v>
      </c>
      <c r="C24" s="52" t="s">
        <v>138</v>
      </c>
      <c r="D24" s="50"/>
      <c r="E24" s="66"/>
      <c r="F24" s="66">
        <f>B24</f>
        <v>15000</v>
      </c>
      <c r="G24" s="66"/>
      <c r="H24" s="66"/>
      <c r="I24" s="66"/>
      <c r="J24" s="66"/>
      <c r="K24" s="66"/>
      <c r="L24" s="66"/>
      <c r="M24" s="66"/>
      <c r="N24" s="66"/>
      <c r="O24" s="66"/>
      <c r="P24" s="50">
        <f t="shared" si="8"/>
        <v>15000</v>
      </c>
    </row>
    <row r="25" spans="1:17" x14ac:dyDescent="0.4">
      <c r="A25" s="52" t="s">
        <v>148</v>
      </c>
      <c r="B25" s="50">
        <v>20000</v>
      </c>
      <c r="C25" s="52" t="s">
        <v>122</v>
      </c>
      <c r="D25" s="50">
        <f>$B$25/12</f>
        <v>1666.6666666666667</v>
      </c>
      <c r="E25" s="50">
        <f t="shared" ref="E25:O25" si="10">$B$25/12</f>
        <v>1666.6666666666667</v>
      </c>
      <c r="F25" s="50">
        <f t="shared" si="10"/>
        <v>1666.6666666666667</v>
      </c>
      <c r="G25" s="50">
        <f t="shared" si="10"/>
        <v>1666.6666666666667</v>
      </c>
      <c r="H25" s="50">
        <f t="shared" si="10"/>
        <v>1666.6666666666667</v>
      </c>
      <c r="I25" s="50">
        <f t="shared" si="10"/>
        <v>1666.6666666666667</v>
      </c>
      <c r="J25" s="50">
        <f t="shared" si="10"/>
        <v>1666.6666666666667</v>
      </c>
      <c r="K25" s="50">
        <f t="shared" si="10"/>
        <v>1666.6666666666667</v>
      </c>
      <c r="L25" s="50">
        <f t="shared" si="10"/>
        <v>1666.6666666666667</v>
      </c>
      <c r="M25" s="50">
        <f t="shared" si="10"/>
        <v>1666.6666666666667</v>
      </c>
      <c r="N25" s="50">
        <f t="shared" si="10"/>
        <v>1666.6666666666667</v>
      </c>
      <c r="O25" s="50">
        <f t="shared" si="10"/>
        <v>1666.6666666666667</v>
      </c>
      <c r="P25" s="50">
        <f t="shared" si="8"/>
        <v>20000</v>
      </c>
    </row>
    <row r="26" spans="1:17" x14ac:dyDescent="0.4">
      <c r="A26" s="52" t="s">
        <v>139</v>
      </c>
      <c r="B26" s="50">
        <v>23500</v>
      </c>
      <c r="C26" s="52"/>
      <c r="D26" s="50"/>
      <c r="E26" s="50">
        <v>23500</v>
      </c>
      <c r="G26" s="50"/>
      <c r="H26" s="50"/>
      <c r="I26" s="50"/>
      <c r="J26" s="50"/>
      <c r="K26" s="50"/>
      <c r="L26" s="50"/>
      <c r="M26" s="50"/>
      <c r="N26" s="50"/>
      <c r="O26" s="50"/>
      <c r="P26" s="50">
        <f t="shared" si="8"/>
        <v>23500</v>
      </c>
    </row>
    <row r="27" spans="1:17" x14ac:dyDescent="0.4">
      <c r="A27" s="52" t="s">
        <v>155</v>
      </c>
      <c r="B27" s="50"/>
      <c r="C27" s="52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</row>
    <row r="28" spans="1:17" x14ac:dyDescent="0.4">
      <c r="A28" s="137" t="s">
        <v>105</v>
      </c>
      <c r="B28" s="52"/>
      <c r="C28" s="52"/>
      <c r="D28" s="50">
        <f t="shared" ref="D28:O28" si="11">SUM(D11:D26)</f>
        <v>68807.576666666675</v>
      </c>
      <c r="E28" s="50">
        <f>SUM(E11:E26)</f>
        <v>38416.666666666664</v>
      </c>
      <c r="F28" s="50">
        <f t="shared" si="11"/>
        <v>36583.333333333336</v>
      </c>
      <c r="G28" s="50">
        <f t="shared" si="11"/>
        <v>21583.333333333336</v>
      </c>
      <c r="H28" s="50">
        <f t="shared" si="11"/>
        <v>21583.333333333336</v>
      </c>
      <c r="I28" s="50">
        <f t="shared" si="11"/>
        <v>48583.333333333336</v>
      </c>
      <c r="J28" s="50">
        <f t="shared" si="11"/>
        <v>24583.333333333336</v>
      </c>
      <c r="K28" s="50">
        <f t="shared" si="11"/>
        <v>22583.333333333336</v>
      </c>
      <c r="L28" s="50">
        <f t="shared" si="11"/>
        <v>22583.333333333336</v>
      </c>
      <c r="M28" s="50">
        <f t="shared" si="11"/>
        <v>22583.333333333336</v>
      </c>
      <c r="N28" s="50">
        <f t="shared" si="11"/>
        <v>22583.333333333336</v>
      </c>
      <c r="O28" s="50">
        <f t="shared" si="11"/>
        <v>22583.333333333336</v>
      </c>
      <c r="P28" s="50">
        <f t="shared" si="8"/>
        <v>373057.57666666666</v>
      </c>
      <c r="Q28" s="43"/>
    </row>
    <row r="29" spans="1:17" x14ac:dyDescent="0.4">
      <c r="A29" s="52" t="s">
        <v>136</v>
      </c>
      <c r="B29" s="84">
        <v>0.1</v>
      </c>
      <c r="C29" s="52"/>
      <c r="D29" s="50">
        <f>D28*$B$29</f>
        <v>6880.7576666666682</v>
      </c>
      <c r="E29" s="50">
        <f t="shared" ref="E29:O29" si="12">E28*$B$29</f>
        <v>3841.6666666666665</v>
      </c>
      <c r="F29" s="50">
        <f t="shared" si="12"/>
        <v>3658.3333333333339</v>
      </c>
      <c r="G29" s="50">
        <f t="shared" si="12"/>
        <v>2158.3333333333335</v>
      </c>
      <c r="H29" s="50">
        <f t="shared" si="12"/>
        <v>2158.3333333333335</v>
      </c>
      <c r="I29" s="50">
        <f t="shared" si="12"/>
        <v>4858.3333333333339</v>
      </c>
      <c r="J29" s="50">
        <f t="shared" si="12"/>
        <v>2458.3333333333339</v>
      </c>
      <c r="K29" s="50">
        <f t="shared" si="12"/>
        <v>2258.3333333333335</v>
      </c>
      <c r="L29" s="50">
        <f t="shared" si="12"/>
        <v>2258.3333333333335</v>
      </c>
      <c r="M29" s="50">
        <f t="shared" si="12"/>
        <v>2258.3333333333335</v>
      </c>
      <c r="N29" s="50">
        <f t="shared" si="12"/>
        <v>2258.3333333333335</v>
      </c>
      <c r="O29" s="50">
        <f t="shared" si="12"/>
        <v>2258.3333333333335</v>
      </c>
      <c r="P29" s="50">
        <f t="shared" si="8"/>
        <v>37305.757666666672</v>
      </c>
    </row>
    <row r="30" spans="1:17" x14ac:dyDescent="0.4">
      <c r="A30" s="52" t="s">
        <v>104</v>
      </c>
      <c r="B30" s="52"/>
      <c r="C30" s="52"/>
      <c r="D30" s="50">
        <f t="shared" ref="D30:O30" si="13">D6+D7-D28-D29</f>
        <v>175585.30616666665</v>
      </c>
      <c r="E30" s="50">
        <f t="shared" si="13"/>
        <v>-40984.692833333327</v>
      </c>
      <c r="F30" s="50">
        <f t="shared" si="13"/>
        <v>-38968.02616666667</v>
      </c>
      <c r="G30" s="50">
        <f t="shared" si="13"/>
        <v>-22468.026166666667</v>
      </c>
      <c r="H30" s="50">
        <f t="shared" si="13"/>
        <v>-22468.026166666667</v>
      </c>
      <c r="I30" s="50">
        <f t="shared" si="13"/>
        <v>-52168.02616666667</v>
      </c>
      <c r="J30" s="50">
        <f t="shared" si="13"/>
        <v>-25768.02616666667</v>
      </c>
      <c r="K30" s="50">
        <f t="shared" si="13"/>
        <v>-23568.026166666667</v>
      </c>
      <c r="L30" s="50">
        <f t="shared" si="13"/>
        <v>-23568.026166666667</v>
      </c>
      <c r="M30" s="50">
        <f t="shared" si="13"/>
        <v>-23568.026166666667</v>
      </c>
      <c r="N30" s="50">
        <f t="shared" si="13"/>
        <v>-23568.026166666667</v>
      </c>
      <c r="O30" s="50">
        <f t="shared" si="13"/>
        <v>-23568.026166666667</v>
      </c>
      <c r="P30" s="50">
        <f t="shared" si="8"/>
        <v>-145079.64833333335</v>
      </c>
    </row>
    <row r="31" spans="1:17" x14ac:dyDescent="0.4">
      <c r="A31" s="52" t="s">
        <v>106</v>
      </c>
      <c r="B31" s="52"/>
      <c r="C31" s="52"/>
      <c r="D31" s="50">
        <f>D30</f>
        <v>175585.30616666665</v>
      </c>
      <c r="E31" s="50">
        <f>D31+E30</f>
        <v>134600.61333333331</v>
      </c>
      <c r="F31" s="50">
        <f t="shared" ref="F31:O31" si="14">E31+F30</f>
        <v>95632.587166666635</v>
      </c>
      <c r="G31" s="50">
        <f t="shared" si="14"/>
        <v>73164.560999999972</v>
      </c>
      <c r="H31" s="50">
        <f t="shared" si="14"/>
        <v>50696.53483333331</v>
      </c>
      <c r="I31" s="50">
        <f t="shared" si="14"/>
        <v>-1471.4913333333607</v>
      </c>
      <c r="J31" s="50">
        <f t="shared" si="14"/>
        <v>-27239.517500000031</v>
      </c>
      <c r="K31" s="50">
        <f t="shared" si="14"/>
        <v>-50807.543666666694</v>
      </c>
      <c r="L31" s="50">
        <f t="shared" si="14"/>
        <v>-74375.569833333357</v>
      </c>
      <c r="M31" s="50">
        <f t="shared" si="14"/>
        <v>-97943.59600000002</v>
      </c>
      <c r="N31" s="50">
        <f t="shared" si="14"/>
        <v>-121511.62216666668</v>
      </c>
      <c r="O31" s="50">
        <f t="shared" si="14"/>
        <v>-145079.64833333335</v>
      </c>
      <c r="P31" s="52"/>
    </row>
    <row r="32" spans="1:17" x14ac:dyDescent="0.4"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</row>
    <row r="33" spans="1:15" x14ac:dyDescent="0.4"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 t="s">
        <v>149</v>
      </c>
      <c r="O33" s="35">
        <f>B26+B24+B23</f>
        <v>43500</v>
      </c>
    </row>
    <row r="34" spans="1:15" x14ac:dyDescent="0.4">
      <c r="A34" s="52"/>
      <c r="N34" s="43" t="s">
        <v>136</v>
      </c>
      <c r="O34" s="43">
        <f>P29</f>
        <v>37305.757666666672</v>
      </c>
    </row>
    <row r="35" spans="1:15" x14ac:dyDescent="0.4">
      <c r="A35" s="52"/>
      <c r="N35" s="43" t="s">
        <v>150</v>
      </c>
      <c r="O35" s="43">
        <f>O31+O33+O34</f>
        <v>-64273.890666666673</v>
      </c>
    </row>
    <row r="38" spans="1:15" x14ac:dyDescent="0.4">
      <c r="B38" s="86"/>
      <c r="C38" s="86"/>
    </row>
    <row r="39" spans="1:15" x14ac:dyDescent="0.4">
      <c r="C39" s="86"/>
    </row>
    <row r="40" spans="1:15" x14ac:dyDescent="0.4">
      <c r="C40" s="86"/>
    </row>
  </sheetData>
  <mergeCells count="1">
    <mergeCell ref="B2:C2"/>
  </mergeCells>
  <pageMargins left="0.7" right="0.7" top="0.75" bottom="0.75" header="0.3" footer="0.3"/>
  <pageSetup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B666A-A8E1-45B7-81AF-6A3543661243}">
  <dimension ref="A1:I23"/>
  <sheetViews>
    <sheetView workbookViewId="0">
      <selection activeCell="G21" sqref="G21"/>
    </sheetView>
  </sheetViews>
  <sheetFormatPr defaultRowHeight="14.6" x14ac:dyDescent="0.4"/>
  <cols>
    <col min="1" max="1" width="27" bestFit="1" customWidth="1"/>
    <col min="2" max="4" width="18.69140625" customWidth="1"/>
    <col min="5" max="5" width="19.3046875" bestFit="1" customWidth="1"/>
    <col min="6" max="6" width="14.3046875" customWidth="1"/>
    <col min="7" max="7" width="32.07421875" customWidth="1"/>
    <col min="9" max="9" width="11" bestFit="1" customWidth="1"/>
  </cols>
  <sheetData>
    <row r="1" spans="1:9" x14ac:dyDescent="0.4">
      <c r="A1" t="s">
        <v>190</v>
      </c>
    </row>
    <row r="3" spans="1:9" x14ac:dyDescent="0.4">
      <c r="A3" t="s">
        <v>179</v>
      </c>
      <c r="B3" s="108" t="s">
        <v>174</v>
      </c>
      <c r="C3" s="112" t="s">
        <v>134</v>
      </c>
      <c r="D3" s="108" t="s">
        <v>193</v>
      </c>
      <c r="E3" s="108" t="s">
        <v>189</v>
      </c>
    </row>
    <row r="4" spans="1:9" x14ac:dyDescent="0.4">
      <c r="A4" t="s">
        <v>178</v>
      </c>
      <c r="B4" s="42" t="s">
        <v>175</v>
      </c>
      <c r="C4" s="113" t="s">
        <v>132</v>
      </c>
      <c r="D4" s="42" t="s">
        <v>194</v>
      </c>
      <c r="E4" s="42" t="s">
        <v>195</v>
      </c>
      <c r="G4" s="108" t="s">
        <v>199</v>
      </c>
    </row>
    <row r="5" spans="1:9" x14ac:dyDescent="0.4">
      <c r="A5" t="s">
        <v>182</v>
      </c>
      <c r="B5" s="114">
        <v>42979</v>
      </c>
      <c r="C5" s="115">
        <v>42094</v>
      </c>
      <c r="D5" s="115">
        <v>41754</v>
      </c>
      <c r="E5" s="115">
        <v>42767</v>
      </c>
      <c r="G5" t="s">
        <v>200</v>
      </c>
    </row>
    <row r="6" spans="1:9" x14ac:dyDescent="0.4">
      <c r="A6" t="s">
        <v>176</v>
      </c>
      <c r="B6" s="110">
        <v>1500000</v>
      </c>
      <c r="C6" s="35">
        <v>1005805</v>
      </c>
      <c r="D6" s="35">
        <v>2100000</v>
      </c>
      <c r="E6" s="35">
        <v>5745000</v>
      </c>
    </row>
    <row r="7" spans="1:9" x14ac:dyDescent="0.4">
      <c r="A7" t="s">
        <v>177</v>
      </c>
      <c r="B7" s="111">
        <v>0.02</v>
      </c>
      <c r="C7" s="109">
        <v>0.05</v>
      </c>
      <c r="D7" s="109">
        <v>3.2500000000000001E-2</v>
      </c>
      <c r="E7" s="109" t="s">
        <v>196</v>
      </c>
    </row>
    <row r="8" spans="1:9" x14ac:dyDescent="0.4">
      <c r="A8" t="s">
        <v>181</v>
      </c>
      <c r="B8" s="2">
        <v>10</v>
      </c>
      <c r="C8">
        <v>7</v>
      </c>
      <c r="D8" s="116">
        <v>10</v>
      </c>
    </row>
    <row r="9" spans="1:9" x14ac:dyDescent="0.4">
      <c r="A9" t="s">
        <v>180</v>
      </c>
      <c r="B9" s="35">
        <v>13802.02</v>
      </c>
      <c r="C9" s="35">
        <v>27672</v>
      </c>
      <c r="D9" s="35"/>
      <c r="E9" s="117"/>
    </row>
    <row r="10" spans="1:9" x14ac:dyDescent="0.4">
      <c r="A10" t="s">
        <v>198</v>
      </c>
      <c r="B10" s="35"/>
      <c r="C10" s="35"/>
      <c r="D10" s="35">
        <v>210000</v>
      </c>
      <c r="E10" s="90">
        <v>565000</v>
      </c>
      <c r="G10" t="s">
        <v>201</v>
      </c>
    </row>
    <row r="11" spans="1:9" x14ac:dyDescent="0.4">
      <c r="A11" t="s">
        <v>191</v>
      </c>
      <c r="B11" s="35">
        <v>1091667</v>
      </c>
      <c r="C11" s="35">
        <v>154345</v>
      </c>
      <c r="D11" s="35">
        <v>630000</v>
      </c>
      <c r="E11" s="35">
        <v>3705000</v>
      </c>
      <c r="G11" s="43">
        <f>D10+E10+(B9+C9)*12</f>
        <v>1272688.24</v>
      </c>
      <c r="I11" s="43">
        <f>SUM(B11:E11)</f>
        <v>5581012</v>
      </c>
    </row>
    <row r="12" spans="1:9" x14ac:dyDescent="0.4">
      <c r="A12" t="s">
        <v>192</v>
      </c>
      <c r="B12" s="35">
        <v>1019471</v>
      </c>
      <c r="C12" s="35">
        <v>51451</v>
      </c>
      <c r="D12" s="43">
        <f>D11</f>
        <v>630000</v>
      </c>
      <c r="E12" s="35">
        <f>E11</f>
        <v>3705000</v>
      </c>
      <c r="G12" t="s">
        <v>202</v>
      </c>
    </row>
    <row r="13" spans="1:9" x14ac:dyDescent="0.4">
      <c r="A13" t="s">
        <v>183</v>
      </c>
      <c r="B13" s="115">
        <v>47088</v>
      </c>
      <c r="C13" s="115">
        <v>44621</v>
      </c>
      <c r="D13" s="115">
        <v>45407</v>
      </c>
      <c r="E13" s="115">
        <v>47299</v>
      </c>
      <c r="G13" s="43">
        <f>E10+D10+B9*12</f>
        <v>940624.24</v>
      </c>
    </row>
    <row r="14" spans="1:9" x14ac:dyDescent="0.4">
      <c r="A14" t="s">
        <v>197</v>
      </c>
      <c r="B14" s="115"/>
      <c r="C14" s="115"/>
      <c r="D14" s="115"/>
    </row>
    <row r="15" spans="1:9" x14ac:dyDescent="0.4">
      <c r="A15" s="107"/>
      <c r="B15" s="106"/>
    </row>
    <row r="16" spans="1:9" x14ac:dyDescent="0.4">
      <c r="A16" t="s">
        <v>251</v>
      </c>
      <c r="B16" s="35">
        <f>B7*B12/12</f>
        <v>1699.1183333333336</v>
      </c>
      <c r="E16" s="35">
        <f>0.05*E12</f>
        <v>185250</v>
      </c>
    </row>
    <row r="17" spans="1:7" x14ac:dyDescent="0.4">
      <c r="A17" t="s">
        <v>252</v>
      </c>
      <c r="B17" s="35">
        <f>B9-B16</f>
        <v>12102.901666666667</v>
      </c>
      <c r="C17" s="43"/>
      <c r="E17" s="35">
        <f>E10-E16</f>
        <v>379750</v>
      </c>
    </row>
    <row r="18" spans="1:7" x14ac:dyDescent="0.4">
      <c r="B18" s="6">
        <f>B16/B9</f>
        <v>0.12310649697169933</v>
      </c>
      <c r="E18" s="6">
        <f>E16/E17</f>
        <v>0.48782093482554312</v>
      </c>
    </row>
    <row r="19" spans="1:7" x14ac:dyDescent="0.4">
      <c r="B19" s="177"/>
      <c r="C19" s="177"/>
    </row>
    <row r="20" spans="1:7" x14ac:dyDescent="0.4">
      <c r="G20">
        <f>16670*12</f>
        <v>200040</v>
      </c>
    </row>
    <row r="23" spans="1:7" x14ac:dyDescent="0.4">
      <c r="E23">
        <f>12*1192</f>
        <v>14304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51"/>
  <sheetViews>
    <sheetView workbookViewId="0"/>
  </sheetViews>
  <sheetFormatPr defaultRowHeight="14.6" x14ac:dyDescent="0.4"/>
  <cols>
    <col min="1" max="1" width="36.84375" bestFit="1" customWidth="1"/>
    <col min="3" max="3" width="16" style="8" bestFit="1" customWidth="1"/>
    <col min="4" max="4" width="14.3046875" style="8" bestFit="1" customWidth="1"/>
    <col min="5" max="5" width="16" style="8" bestFit="1" customWidth="1"/>
  </cols>
  <sheetData>
    <row r="1" spans="1:5" ht="15.9" x14ac:dyDescent="0.45">
      <c r="A1" s="9" t="s">
        <v>0</v>
      </c>
      <c r="B1" s="9"/>
      <c r="C1" s="10"/>
      <c r="D1" s="10"/>
      <c r="E1" s="10"/>
    </row>
    <row r="2" spans="1:5" ht="15.9" x14ac:dyDescent="0.45">
      <c r="A2" s="9" t="s">
        <v>52</v>
      </c>
      <c r="B2" s="9"/>
      <c r="C2" s="10"/>
      <c r="D2" s="10"/>
      <c r="E2" s="10"/>
    </row>
    <row r="3" spans="1:5" ht="16.3" thickBot="1" x14ac:dyDescent="0.5">
      <c r="A3" s="9" t="s">
        <v>7</v>
      </c>
      <c r="B3" s="9"/>
      <c r="C3" s="10"/>
      <c r="D3" s="10"/>
      <c r="E3" s="10"/>
    </row>
    <row r="4" spans="1:5" ht="16.3" thickBot="1" x14ac:dyDescent="0.5">
      <c r="A4" s="9"/>
      <c r="B4" s="9"/>
      <c r="C4" s="11">
        <v>43738</v>
      </c>
      <c r="D4" s="12" t="s">
        <v>8</v>
      </c>
      <c r="E4" s="13" t="s">
        <v>55</v>
      </c>
    </row>
    <row r="5" spans="1:5" ht="15.9" x14ac:dyDescent="0.45">
      <c r="A5" s="9" t="s">
        <v>9</v>
      </c>
      <c r="B5" s="9"/>
      <c r="C5" s="14">
        <v>1074298</v>
      </c>
      <c r="D5" s="14"/>
      <c r="E5" s="14">
        <f t="shared" ref="E5:E10" si="0">+D5+C5</f>
        <v>1074298</v>
      </c>
    </row>
    <row r="6" spans="1:5" ht="15.9" x14ac:dyDescent="0.45">
      <c r="A6" s="9" t="s">
        <v>10</v>
      </c>
      <c r="B6" s="9"/>
      <c r="C6" s="10">
        <v>985806</v>
      </c>
      <c r="D6" s="10"/>
      <c r="E6" s="10">
        <f t="shared" si="0"/>
        <v>985806</v>
      </c>
    </row>
    <row r="7" spans="1:5" ht="15.9" x14ac:dyDescent="0.45">
      <c r="A7" s="9" t="s">
        <v>11</v>
      </c>
      <c r="B7" s="9"/>
      <c r="C7" s="10">
        <f>17747685-13355863</f>
        <v>4391822</v>
      </c>
      <c r="D7" s="10">
        <v>-4391822</v>
      </c>
      <c r="E7" s="10">
        <f t="shared" si="0"/>
        <v>0</v>
      </c>
    </row>
    <row r="8" spans="1:5" ht="15.9" x14ac:dyDescent="0.45">
      <c r="A8" s="9" t="s">
        <v>12</v>
      </c>
      <c r="B8" s="9"/>
      <c r="C8" s="10">
        <v>1524076</v>
      </c>
      <c r="D8" s="10">
        <v>-1524076</v>
      </c>
      <c r="E8" s="10">
        <f t="shared" si="0"/>
        <v>0</v>
      </c>
    </row>
    <row r="9" spans="1:5" ht="15" customHeight="1" x14ac:dyDescent="0.45">
      <c r="A9" s="9" t="s">
        <v>13</v>
      </c>
      <c r="B9" s="9"/>
      <c r="C9" s="10">
        <v>1307854</v>
      </c>
      <c r="D9" s="10">
        <v>-1307854</v>
      </c>
      <c r="E9" s="10">
        <f t="shared" si="0"/>
        <v>0</v>
      </c>
    </row>
    <row r="10" spans="1:5" ht="15.9" x14ac:dyDescent="0.45">
      <c r="A10" s="9" t="s">
        <v>14</v>
      </c>
      <c r="B10" s="9"/>
      <c r="C10" s="10">
        <v>843710</v>
      </c>
      <c r="D10" s="10">
        <v>-843710</v>
      </c>
      <c r="E10" s="10">
        <f t="shared" si="0"/>
        <v>0</v>
      </c>
    </row>
    <row r="11" spans="1:5" ht="15.9" x14ac:dyDescent="0.45">
      <c r="A11" s="9" t="s">
        <v>15</v>
      </c>
      <c r="B11" s="9"/>
      <c r="C11" s="15">
        <f>SUM(C5:C10)</f>
        <v>10127566</v>
      </c>
      <c r="D11" s="10"/>
      <c r="E11" s="15">
        <f>SUM(E5:E10)</f>
        <v>2060104</v>
      </c>
    </row>
    <row r="12" spans="1:5" ht="15.9" x14ac:dyDescent="0.45">
      <c r="A12" s="9" t="s">
        <v>16</v>
      </c>
      <c r="B12" s="9"/>
      <c r="C12" s="10">
        <v>4391979</v>
      </c>
      <c r="D12" s="10">
        <f>+E51</f>
        <v>-1915880</v>
      </c>
      <c r="E12" s="10">
        <f>+D12+C12</f>
        <v>2476099</v>
      </c>
    </row>
    <row r="13" spans="1:5" ht="15.9" x14ac:dyDescent="0.45">
      <c r="A13" s="9" t="s">
        <v>17</v>
      </c>
      <c r="B13" s="9"/>
      <c r="C13" s="10">
        <v>13774</v>
      </c>
      <c r="D13" s="10"/>
      <c r="E13" s="10">
        <f>+D13+C13</f>
        <v>13774</v>
      </c>
    </row>
    <row r="14" spans="1:5" ht="15.9" x14ac:dyDescent="0.45">
      <c r="A14" s="9" t="s">
        <v>18</v>
      </c>
      <c r="B14" s="9"/>
      <c r="C14" s="10">
        <v>856132</v>
      </c>
      <c r="D14" s="10"/>
      <c r="E14" s="10">
        <f>+D14+C14</f>
        <v>856132</v>
      </c>
    </row>
    <row r="15" spans="1:5" ht="15.9" x14ac:dyDescent="0.45">
      <c r="A15" s="9" t="s">
        <v>19</v>
      </c>
      <c r="B15" s="9"/>
      <c r="C15" s="10">
        <v>459063</v>
      </c>
      <c r="D15" s="10"/>
      <c r="E15" s="10">
        <f>+D15+C15</f>
        <v>459063</v>
      </c>
    </row>
    <row r="16" spans="1:5" ht="15.9" x14ac:dyDescent="0.45">
      <c r="A16" s="9" t="s">
        <v>20</v>
      </c>
      <c r="B16" s="9"/>
      <c r="C16" s="15">
        <f>SUM(C12:C15)</f>
        <v>5720948</v>
      </c>
      <c r="D16" s="10"/>
      <c r="E16" s="15">
        <f>SUM(E12:E15)</f>
        <v>3805068</v>
      </c>
    </row>
    <row r="17" spans="1:5" ht="15.9" x14ac:dyDescent="0.45">
      <c r="A17" s="9" t="s">
        <v>21</v>
      </c>
      <c r="B17" s="9"/>
      <c r="C17" s="10"/>
      <c r="D17" s="10"/>
      <c r="E17" s="10"/>
    </row>
    <row r="18" spans="1:5" ht="15.9" x14ac:dyDescent="0.45">
      <c r="A18" s="9" t="s">
        <v>22</v>
      </c>
      <c r="B18" s="9"/>
      <c r="C18" s="10">
        <v>117490</v>
      </c>
      <c r="D18" s="10"/>
      <c r="E18" s="10">
        <f t="shared" ref="E18:E23" si="1">+D18+C18</f>
        <v>117490</v>
      </c>
    </row>
    <row r="19" spans="1:5" ht="15.9" x14ac:dyDescent="0.45">
      <c r="A19" s="9" t="s">
        <v>23</v>
      </c>
      <c r="B19" s="9"/>
      <c r="C19" s="10">
        <v>805398</v>
      </c>
      <c r="D19" s="10"/>
      <c r="E19" s="10">
        <f t="shared" si="1"/>
        <v>805398</v>
      </c>
    </row>
    <row r="20" spans="1:5" ht="15.9" x14ac:dyDescent="0.45">
      <c r="A20" s="9" t="s">
        <v>24</v>
      </c>
      <c r="B20" s="9"/>
      <c r="C20" s="10">
        <v>24604464</v>
      </c>
      <c r="D20" s="10"/>
      <c r="E20" s="10">
        <f t="shared" si="1"/>
        <v>24604464</v>
      </c>
    </row>
    <row r="21" spans="1:5" ht="15.9" x14ac:dyDescent="0.45">
      <c r="A21" s="9" t="s">
        <v>25</v>
      </c>
      <c r="B21" s="9"/>
      <c r="C21" s="10">
        <v>546439</v>
      </c>
      <c r="D21" s="10"/>
      <c r="E21" s="10">
        <f t="shared" si="1"/>
        <v>546439</v>
      </c>
    </row>
    <row r="22" spans="1:5" ht="15.9" x14ac:dyDescent="0.45">
      <c r="A22" s="9" t="s">
        <v>26</v>
      </c>
      <c r="B22" s="9"/>
      <c r="C22" s="10">
        <v>20511069</v>
      </c>
      <c r="D22" s="10"/>
      <c r="E22" s="10">
        <f t="shared" si="1"/>
        <v>20511069</v>
      </c>
    </row>
    <row r="23" spans="1:5" ht="15.9" x14ac:dyDescent="0.45">
      <c r="A23" s="9" t="s">
        <v>27</v>
      </c>
      <c r="B23" s="9"/>
      <c r="C23" s="10">
        <v>1729613</v>
      </c>
      <c r="D23" s="10"/>
      <c r="E23" s="10">
        <f t="shared" si="1"/>
        <v>1729613</v>
      </c>
    </row>
    <row r="24" spans="1:5" ht="15.9" x14ac:dyDescent="0.45">
      <c r="A24" s="9" t="s">
        <v>28</v>
      </c>
      <c r="B24" s="9"/>
      <c r="C24" s="15">
        <f>SUM(C18:C23)</f>
        <v>48314473</v>
      </c>
      <c r="D24" s="10"/>
      <c r="E24" s="15">
        <f>SUM(E18:E23)</f>
        <v>48314473</v>
      </c>
    </row>
    <row r="25" spans="1:5" ht="15.9" x14ac:dyDescent="0.45">
      <c r="A25" s="9" t="s">
        <v>29</v>
      </c>
      <c r="B25" s="9"/>
      <c r="C25" s="15">
        <v>-33884239</v>
      </c>
      <c r="D25" s="10"/>
      <c r="E25" s="15">
        <v>-33884239</v>
      </c>
    </row>
    <row r="26" spans="1:5" ht="15.9" x14ac:dyDescent="0.45">
      <c r="A26" s="9" t="s">
        <v>30</v>
      </c>
      <c r="B26" s="9"/>
      <c r="C26" s="16">
        <f>+C24+C25</f>
        <v>14430234</v>
      </c>
      <c r="D26" s="10"/>
      <c r="E26" s="15">
        <f>+E24+E25</f>
        <v>14430234</v>
      </c>
    </row>
    <row r="27" spans="1:5" ht="16.3" thickBot="1" x14ac:dyDescent="0.5">
      <c r="A27" s="17" t="s">
        <v>31</v>
      </c>
      <c r="B27" s="9"/>
      <c r="C27" s="18">
        <f>+C11+C16+C26</f>
        <v>30278748</v>
      </c>
      <c r="D27" s="28">
        <f>SUM(D5:D26)</f>
        <v>-9983342</v>
      </c>
      <c r="E27" s="18">
        <f>+E11+E16+E26</f>
        <v>20295406</v>
      </c>
    </row>
    <row r="28" spans="1:5" ht="16.3" thickTop="1" x14ac:dyDescent="0.45">
      <c r="A28" s="9"/>
      <c r="B28" s="9"/>
      <c r="C28" s="10"/>
      <c r="D28" s="10"/>
      <c r="E28" s="10"/>
    </row>
    <row r="29" spans="1:5" ht="15.9" x14ac:dyDescent="0.45">
      <c r="A29" s="9" t="s">
        <v>32</v>
      </c>
      <c r="B29" s="9"/>
      <c r="C29" s="14">
        <v>-5636743</v>
      </c>
      <c r="D29" s="10">
        <v>5636743</v>
      </c>
      <c r="E29" s="14">
        <f t="shared" ref="E29:E38" si="2">+D29+C29</f>
        <v>0</v>
      </c>
    </row>
    <row r="30" spans="1:5" ht="15.9" x14ac:dyDescent="0.45">
      <c r="A30" s="9" t="s">
        <v>33</v>
      </c>
      <c r="B30" s="9"/>
      <c r="C30" s="10">
        <v>-511499</v>
      </c>
      <c r="D30" s="10">
        <v>511499</v>
      </c>
      <c r="E30" s="10">
        <f t="shared" si="2"/>
        <v>0</v>
      </c>
    </row>
    <row r="31" spans="1:5" ht="15.9" x14ac:dyDescent="0.45">
      <c r="A31" s="9" t="s">
        <v>34</v>
      </c>
      <c r="B31" s="9"/>
      <c r="C31" s="10">
        <v>-1098446</v>
      </c>
      <c r="D31" s="10">
        <v>1098446</v>
      </c>
      <c r="E31" s="10">
        <f t="shared" si="2"/>
        <v>0</v>
      </c>
    </row>
    <row r="32" spans="1:5" ht="15.9" x14ac:dyDescent="0.45">
      <c r="A32" s="9" t="s">
        <v>35</v>
      </c>
      <c r="B32" s="9"/>
      <c r="C32" s="10">
        <v>-39060</v>
      </c>
      <c r="D32" s="10">
        <v>39060</v>
      </c>
      <c r="E32" s="10">
        <f t="shared" si="2"/>
        <v>0</v>
      </c>
    </row>
    <row r="33" spans="1:5" ht="15.9" x14ac:dyDescent="0.45">
      <c r="A33" s="9" t="s">
        <v>36</v>
      </c>
      <c r="B33" s="9"/>
      <c r="C33" s="10">
        <v>-997965</v>
      </c>
      <c r="D33" s="10">
        <v>997965</v>
      </c>
      <c r="E33" s="10">
        <f t="shared" si="2"/>
        <v>0</v>
      </c>
    </row>
    <row r="34" spans="1:5" ht="15.9" x14ac:dyDescent="0.45">
      <c r="A34" s="9" t="s">
        <v>37</v>
      </c>
      <c r="B34" s="9"/>
      <c r="C34" s="10">
        <v>-821660</v>
      </c>
      <c r="D34" s="10">
        <v>821660</v>
      </c>
      <c r="E34" s="10">
        <f t="shared" si="2"/>
        <v>0</v>
      </c>
    </row>
    <row r="35" spans="1:5" ht="15.9" x14ac:dyDescent="0.45">
      <c r="A35" s="9" t="s">
        <v>38</v>
      </c>
      <c r="B35" s="9"/>
      <c r="C35" s="10">
        <v>-941060</v>
      </c>
      <c r="D35" s="10"/>
      <c r="E35" s="10">
        <f t="shared" si="2"/>
        <v>-941060</v>
      </c>
    </row>
    <row r="36" spans="1:5" ht="15.9" x14ac:dyDescent="0.45">
      <c r="A36" s="9" t="s">
        <v>39</v>
      </c>
      <c r="B36" s="9"/>
      <c r="C36" s="10">
        <v>-877969</v>
      </c>
      <c r="D36" s="10">
        <v>877969</v>
      </c>
      <c r="E36" s="10">
        <f t="shared" si="2"/>
        <v>0</v>
      </c>
    </row>
    <row r="37" spans="1:5" ht="15.9" x14ac:dyDescent="0.45">
      <c r="A37" s="9" t="s">
        <v>40</v>
      </c>
      <c r="B37" s="9"/>
      <c r="C37" s="10">
        <v>-150000</v>
      </c>
      <c r="D37" s="10"/>
      <c r="E37" s="10">
        <f t="shared" si="2"/>
        <v>-150000</v>
      </c>
    </row>
    <row r="38" spans="1:5" ht="15.9" x14ac:dyDescent="0.45">
      <c r="A38" s="9" t="s">
        <v>41</v>
      </c>
      <c r="B38" s="9"/>
      <c r="C38" s="10">
        <v>-309834</v>
      </c>
      <c r="D38" s="10"/>
      <c r="E38" s="10">
        <f t="shared" si="2"/>
        <v>-309834</v>
      </c>
    </row>
    <row r="39" spans="1:5" ht="15.9" x14ac:dyDescent="0.45">
      <c r="A39" s="9" t="s">
        <v>42</v>
      </c>
      <c r="B39" s="9"/>
      <c r="C39" s="15">
        <f>SUM(C29:C38)</f>
        <v>-11384236</v>
      </c>
      <c r="D39" s="10"/>
      <c r="E39" s="15">
        <f>SUM(E29:E38)</f>
        <v>-1400894</v>
      </c>
    </row>
    <row r="40" spans="1:5" ht="15.9" x14ac:dyDescent="0.45">
      <c r="A40" s="9" t="s">
        <v>43</v>
      </c>
      <c r="B40" s="9"/>
      <c r="C40" s="10">
        <v>-9771548</v>
      </c>
      <c r="D40" s="10"/>
      <c r="E40" s="10">
        <f>+D40+C40</f>
        <v>-9771548</v>
      </c>
    </row>
    <row r="41" spans="1:5" ht="15.9" x14ac:dyDescent="0.45">
      <c r="A41" s="9" t="s">
        <v>44</v>
      </c>
      <c r="B41" s="9"/>
      <c r="C41" s="10">
        <v>-245768</v>
      </c>
      <c r="D41" s="10"/>
      <c r="E41" s="10">
        <f>+D41+C41</f>
        <v>-245768</v>
      </c>
    </row>
    <row r="42" spans="1:5" ht="15.9" x14ac:dyDescent="0.45">
      <c r="A42" s="9" t="s">
        <v>45</v>
      </c>
      <c r="B42" s="9"/>
      <c r="C42" s="10">
        <v>-2434718</v>
      </c>
      <c r="D42" s="10"/>
      <c r="E42" s="10">
        <f>+D42+C42</f>
        <v>-2434718</v>
      </c>
    </row>
    <row r="43" spans="1:5" ht="15.9" x14ac:dyDescent="0.45">
      <c r="A43" s="9" t="s">
        <v>46</v>
      </c>
      <c r="B43" s="9"/>
      <c r="C43" s="15">
        <v>-12452034</v>
      </c>
      <c r="D43" s="10"/>
      <c r="E43" s="15">
        <v>-12452034</v>
      </c>
    </row>
    <row r="44" spans="1:5" ht="15.9" x14ac:dyDescent="0.45">
      <c r="A44" s="9" t="s">
        <v>47</v>
      </c>
      <c r="B44" s="9"/>
      <c r="C44" s="15">
        <f>+C39+C43</f>
        <v>-23836270</v>
      </c>
      <c r="D44" s="10"/>
      <c r="E44" s="15">
        <f>+E39+E43</f>
        <v>-13852928</v>
      </c>
    </row>
    <row r="45" spans="1:5" ht="15.9" x14ac:dyDescent="0.45">
      <c r="A45" s="9" t="s">
        <v>48</v>
      </c>
      <c r="B45" s="9"/>
      <c r="C45" s="10">
        <v>-6442478</v>
      </c>
      <c r="D45" s="10"/>
      <c r="E45" s="10">
        <f>+C45+D45</f>
        <v>-6442478</v>
      </c>
    </row>
    <row r="46" spans="1:5" ht="16.3" thickBot="1" x14ac:dyDescent="0.5">
      <c r="A46" s="17" t="s">
        <v>49</v>
      </c>
      <c r="B46" s="9"/>
      <c r="C46" s="18">
        <f>+C44+C45</f>
        <v>-30278748</v>
      </c>
      <c r="D46" s="28">
        <f>SUM(D29:D45)</f>
        <v>9983342</v>
      </c>
      <c r="E46" s="18">
        <f>+E44+E45</f>
        <v>-20295406</v>
      </c>
    </row>
    <row r="47" spans="1:5" ht="16.75" thickTop="1" thickBot="1" x14ac:dyDescent="0.5">
      <c r="A47" s="9"/>
      <c r="B47" s="9"/>
      <c r="C47" s="10"/>
      <c r="D47" s="10"/>
      <c r="E47" s="10"/>
    </row>
    <row r="48" spans="1:5" ht="15.9" x14ac:dyDescent="0.45">
      <c r="A48" s="9"/>
      <c r="B48" s="9"/>
      <c r="C48" s="19" t="s">
        <v>50</v>
      </c>
      <c r="D48" s="20"/>
      <c r="E48" s="21"/>
    </row>
    <row r="49" spans="1:5" ht="15.9" x14ac:dyDescent="0.45">
      <c r="A49" s="9"/>
      <c r="B49" s="9"/>
      <c r="C49" s="22" t="s">
        <v>51</v>
      </c>
      <c r="D49" s="23"/>
      <c r="E49" s="24">
        <f>-D7-D8-D9-D10</f>
        <v>8067462</v>
      </c>
    </row>
    <row r="50" spans="1:5" ht="15.9" x14ac:dyDescent="0.45">
      <c r="A50" s="9"/>
      <c r="B50" s="9"/>
      <c r="C50" s="22" t="s">
        <v>54</v>
      </c>
      <c r="D50" s="23"/>
      <c r="E50" s="24">
        <f>-D29-D30-D31-D32-D33-D34-D36</f>
        <v>-9983342</v>
      </c>
    </row>
    <row r="51" spans="1:5" ht="16.3" thickBot="1" x14ac:dyDescent="0.5">
      <c r="A51" s="9"/>
      <c r="B51" s="9"/>
      <c r="C51" s="25" t="s">
        <v>53</v>
      </c>
      <c r="D51" s="26"/>
      <c r="E51" s="27">
        <f>+E49+E50</f>
        <v>-1915880</v>
      </c>
    </row>
  </sheetData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42CD1-F799-41CE-A4CA-4FCEB41145A5}">
  <dimension ref="A1:K40"/>
  <sheetViews>
    <sheetView workbookViewId="0">
      <selection activeCell="D11" sqref="D11"/>
    </sheetView>
  </sheetViews>
  <sheetFormatPr defaultRowHeight="14.6" x14ac:dyDescent="0.4"/>
  <cols>
    <col min="1" max="1" width="38.4609375" customWidth="1"/>
    <col min="2" max="2" width="8.53515625" hidden="1" customWidth="1"/>
    <col min="3" max="3" width="16.3046875" hidden="1" customWidth="1"/>
    <col min="4" max="7" width="9.84375" style="43" bestFit="1" customWidth="1"/>
    <col min="8" max="8" width="12.3046875" style="43" bestFit="1" customWidth="1"/>
    <col min="9" max="9" width="13" style="43" customWidth="1"/>
    <col min="10" max="10" width="13" customWidth="1"/>
    <col min="11" max="11" width="9.53515625" bestFit="1" customWidth="1"/>
  </cols>
  <sheetData>
    <row r="1" spans="1:11" ht="15" thickBot="1" x14ac:dyDescent="0.45">
      <c r="A1" s="52" t="s">
        <v>278</v>
      </c>
      <c r="B1" s="52"/>
      <c r="C1" s="52"/>
      <c r="D1" s="70" t="s">
        <v>92</v>
      </c>
      <c r="E1" s="66"/>
      <c r="F1" s="66"/>
      <c r="G1" s="66"/>
      <c r="H1" s="66"/>
      <c r="I1" s="66"/>
      <c r="J1" s="52"/>
      <c r="K1" s="52"/>
    </row>
    <row r="2" spans="1:11" ht="15" thickBot="1" x14ac:dyDescent="0.45">
      <c r="A2" s="52"/>
      <c r="B2" s="178" t="s">
        <v>85</v>
      </c>
      <c r="C2" s="179"/>
      <c r="D2" s="74" t="s">
        <v>142</v>
      </c>
      <c r="E2" s="75"/>
      <c r="F2" s="75"/>
      <c r="G2" s="75"/>
      <c r="H2" s="75"/>
      <c r="I2" s="76"/>
      <c r="J2" s="53" t="s">
        <v>281</v>
      </c>
      <c r="K2" s="52"/>
    </row>
    <row r="3" spans="1:11" ht="15" thickBot="1" x14ac:dyDescent="0.45">
      <c r="A3" s="52" t="s">
        <v>70</v>
      </c>
      <c r="B3" s="52"/>
      <c r="C3" s="52"/>
      <c r="D3" s="155" t="s">
        <v>81</v>
      </c>
      <c r="E3" s="77" t="s">
        <v>82</v>
      </c>
      <c r="F3" s="77" t="s">
        <v>83</v>
      </c>
      <c r="G3" s="77" t="s">
        <v>84</v>
      </c>
      <c r="H3" s="77" t="s">
        <v>71</v>
      </c>
      <c r="I3" s="78" t="s">
        <v>72</v>
      </c>
      <c r="J3" s="52"/>
      <c r="K3" s="52"/>
    </row>
    <row r="4" spans="1:11" x14ac:dyDescent="0.4">
      <c r="A4" s="52"/>
      <c r="B4" s="52"/>
      <c r="C4" s="52"/>
      <c r="D4" s="66"/>
      <c r="E4" s="66"/>
      <c r="F4" s="66"/>
      <c r="G4" s="66"/>
      <c r="H4" s="66"/>
      <c r="I4" s="66"/>
      <c r="J4" s="52"/>
      <c r="K4" s="52"/>
    </row>
    <row r="5" spans="1:11" x14ac:dyDescent="0.4">
      <c r="A5" s="63" t="s">
        <v>74</v>
      </c>
      <c r="B5" s="52"/>
      <c r="C5" s="52"/>
      <c r="D5" s="66"/>
      <c r="E5" s="66"/>
      <c r="F5" s="66"/>
      <c r="G5" s="66"/>
      <c r="H5" s="66"/>
      <c r="I5" s="66"/>
      <c r="J5" s="52"/>
      <c r="K5" s="52"/>
    </row>
    <row r="6" spans="1:11" x14ac:dyDescent="0.4">
      <c r="A6" s="52" t="s">
        <v>97</v>
      </c>
      <c r="B6" s="52">
        <v>250000</v>
      </c>
      <c r="C6" s="52"/>
      <c r="D6" s="50">
        <v>125000</v>
      </c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f>SUM(D6:I6)</f>
        <v>125000</v>
      </c>
      <c r="K6" s="52"/>
    </row>
    <row r="7" spans="1:11" x14ac:dyDescent="0.4">
      <c r="A7" s="52" t="s">
        <v>98</v>
      </c>
      <c r="B7" s="79">
        <f>0.44%</f>
        <v>4.4000000000000003E-3</v>
      </c>
      <c r="C7" s="50">
        <f>'Cash Assets'!B4</f>
        <v>3473565</v>
      </c>
      <c r="D7" s="50">
        <f>B7*C7/12</f>
        <v>1273.6405000000002</v>
      </c>
      <c r="E7" s="50">
        <f>D7</f>
        <v>1273.6405000000002</v>
      </c>
      <c r="F7" s="50">
        <f>E7</f>
        <v>1273.6405000000002</v>
      </c>
      <c r="G7" s="50">
        <f>F7</f>
        <v>1273.6405000000002</v>
      </c>
      <c r="H7" s="50">
        <f>G7</f>
        <v>1273.6405000000002</v>
      </c>
      <c r="I7" s="50">
        <f>H7</f>
        <v>1273.6405000000002</v>
      </c>
      <c r="J7" s="50">
        <f>SUM(D7:I7)</f>
        <v>7641.8430000000017</v>
      </c>
      <c r="K7" s="52"/>
    </row>
    <row r="8" spans="1:11" x14ac:dyDescent="0.4">
      <c r="A8" s="171" t="s">
        <v>107</v>
      </c>
      <c r="B8" s="52"/>
      <c r="C8" s="52"/>
      <c r="D8" s="50">
        <f>D7+D6</f>
        <v>126273.64049999999</v>
      </c>
      <c r="E8" s="50">
        <f>E6+E7</f>
        <v>1273.6405000000002</v>
      </c>
      <c r="F8" s="50">
        <f>F6+F7</f>
        <v>1273.6405000000002</v>
      </c>
      <c r="G8" s="50">
        <f>G6+G7</f>
        <v>1273.6405000000002</v>
      </c>
      <c r="H8" s="50">
        <f>H6+H7</f>
        <v>1273.6405000000002</v>
      </c>
      <c r="I8" s="50">
        <f>I6+I7</f>
        <v>1273.6405000000002</v>
      </c>
      <c r="J8" s="50">
        <f>SUM(D8:I8)</f>
        <v>132641.84299999999</v>
      </c>
      <c r="K8" s="52"/>
    </row>
    <row r="9" spans="1:11" x14ac:dyDescent="0.4">
      <c r="A9" s="171"/>
      <c r="B9" s="52"/>
      <c r="C9" s="52"/>
      <c r="D9" s="50"/>
      <c r="E9" s="50"/>
      <c r="F9" s="50"/>
      <c r="G9" s="50"/>
      <c r="H9" s="50"/>
      <c r="I9" s="50"/>
      <c r="J9" s="50"/>
      <c r="K9" s="52"/>
    </row>
    <row r="10" spans="1:11" x14ac:dyDescent="0.4">
      <c r="A10" s="63" t="s">
        <v>99</v>
      </c>
      <c r="B10" s="52"/>
      <c r="C10" s="52"/>
      <c r="D10" s="50"/>
      <c r="E10" s="50"/>
      <c r="F10" s="50"/>
      <c r="G10" s="50"/>
      <c r="H10" s="50"/>
      <c r="I10" s="50"/>
      <c r="J10" s="50"/>
      <c r="K10" s="52"/>
    </row>
    <row r="11" spans="1:11" x14ac:dyDescent="0.4">
      <c r="A11" s="52" t="s">
        <v>151</v>
      </c>
      <c r="B11" s="81"/>
      <c r="C11" s="50">
        <v>80000</v>
      </c>
      <c r="D11" s="50"/>
      <c r="E11" s="50">
        <f>$C$11/12</f>
        <v>6666.666666666667</v>
      </c>
      <c r="F11" s="50">
        <f>$C$11/12</f>
        <v>6666.666666666667</v>
      </c>
      <c r="G11" s="50">
        <f>$C$11/12</f>
        <v>6666.666666666667</v>
      </c>
      <c r="H11" s="50">
        <f>$C$11/12</f>
        <v>6666.666666666667</v>
      </c>
      <c r="I11" s="50">
        <f>$C$11/12</f>
        <v>6666.666666666667</v>
      </c>
      <c r="J11" s="50">
        <f t="shared" ref="J11:J19" si="0">SUM(D11:I11)</f>
        <v>33333.333333333336</v>
      </c>
      <c r="K11" s="52"/>
    </row>
    <row r="12" spans="1:11" x14ac:dyDescent="0.4">
      <c r="A12" s="52" t="s">
        <v>119</v>
      </c>
      <c r="B12" s="82">
        <v>600</v>
      </c>
      <c r="C12" s="154">
        <v>3</v>
      </c>
      <c r="D12" s="50">
        <f>C12*B12</f>
        <v>1800</v>
      </c>
      <c r="E12" s="50">
        <f>D12</f>
        <v>1800</v>
      </c>
      <c r="F12" s="50">
        <f>E12</f>
        <v>1800</v>
      </c>
      <c r="G12" s="50">
        <f>F12</f>
        <v>1800</v>
      </c>
      <c r="H12" s="50">
        <f>G12</f>
        <v>1800</v>
      </c>
      <c r="I12" s="50">
        <f>H12</f>
        <v>1800</v>
      </c>
      <c r="J12" s="50">
        <f t="shared" si="0"/>
        <v>10800</v>
      </c>
      <c r="K12" s="52"/>
    </row>
    <row r="13" spans="1:11" x14ac:dyDescent="0.4">
      <c r="A13" s="52" t="s">
        <v>144</v>
      </c>
      <c r="B13" s="50">
        <v>500</v>
      </c>
      <c r="C13" s="52"/>
      <c r="D13" s="66">
        <f t="shared" ref="D13:I13" si="1">$B$13</f>
        <v>500</v>
      </c>
      <c r="E13" s="66">
        <f t="shared" si="1"/>
        <v>500</v>
      </c>
      <c r="F13" s="66">
        <f t="shared" si="1"/>
        <v>500</v>
      </c>
      <c r="G13" s="66">
        <f t="shared" si="1"/>
        <v>500</v>
      </c>
      <c r="H13" s="66">
        <f t="shared" si="1"/>
        <v>500</v>
      </c>
      <c r="I13" s="66">
        <f t="shared" si="1"/>
        <v>500</v>
      </c>
      <c r="J13" s="50">
        <f t="shared" si="0"/>
        <v>3000</v>
      </c>
      <c r="K13" s="52"/>
    </row>
    <row r="14" spans="1:11" x14ac:dyDescent="0.4">
      <c r="A14" s="52" t="s">
        <v>152</v>
      </c>
      <c r="B14" s="50">
        <v>9000</v>
      </c>
      <c r="C14" s="52" t="s">
        <v>121</v>
      </c>
      <c r="D14" s="66">
        <f t="shared" ref="D14:I14" si="2">$B$14</f>
        <v>9000</v>
      </c>
      <c r="E14" s="66">
        <f t="shared" si="2"/>
        <v>9000</v>
      </c>
      <c r="F14" s="66">
        <f t="shared" si="2"/>
        <v>9000</v>
      </c>
      <c r="G14" s="66">
        <f t="shared" si="2"/>
        <v>9000</v>
      </c>
      <c r="H14" s="66">
        <f t="shared" si="2"/>
        <v>9000</v>
      </c>
      <c r="I14" s="66">
        <f t="shared" si="2"/>
        <v>9000</v>
      </c>
      <c r="J14" s="50">
        <f t="shared" si="0"/>
        <v>54000</v>
      </c>
      <c r="K14" s="52"/>
    </row>
    <row r="15" spans="1:11" x14ac:dyDescent="0.4">
      <c r="A15" s="52" t="s">
        <v>140</v>
      </c>
      <c r="B15" s="50">
        <v>27000</v>
      </c>
      <c r="C15" s="52" t="s">
        <v>141</v>
      </c>
      <c r="D15" s="50"/>
      <c r="E15" s="50">
        <v>10000</v>
      </c>
      <c r="F15" s="50"/>
      <c r="G15" s="50"/>
      <c r="H15" s="50"/>
      <c r="I15" s="50"/>
      <c r="J15" s="50">
        <f t="shared" si="0"/>
        <v>10000</v>
      </c>
      <c r="K15" s="52"/>
    </row>
    <row r="16" spans="1:11" x14ac:dyDescent="0.4">
      <c r="A16" s="52" t="s">
        <v>100</v>
      </c>
      <c r="B16" s="50">
        <v>22022</v>
      </c>
      <c r="C16" s="52" t="s">
        <v>122</v>
      </c>
      <c r="D16" s="50"/>
      <c r="E16" s="50"/>
      <c r="F16" s="50"/>
      <c r="G16" s="50"/>
      <c r="H16" s="50"/>
      <c r="I16" s="50"/>
      <c r="J16" s="50">
        <f t="shared" si="0"/>
        <v>0</v>
      </c>
      <c r="K16" s="52"/>
    </row>
    <row r="17" spans="1:11" x14ac:dyDescent="0.4">
      <c r="A17" s="52" t="s">
        <v>101</v>
      </c>
      <c r="B17" s="50">
        <v>10189</v>
      </c>
      <c r="C17" s="52" t="s">
        <v>122</v>
      </c>
      <c r="D17" s="50"/>
      <c r="E17" s="50"/>
      <c r="F17" s="50"/>
      <c r="G17" s="50"/>
      <c r="H17" s="50"/>
      <c r="I17" s="50"/>
      <c r="J17" s="50">
        <f t="shared" si="0"/>
        <v>0</v>
      </c>
      <c r="K17" s="52"/>
    </row>
    <row r="18" spans="1:11" x14ac:dyDescent="0.4">
      <c r="A18" s="52" t="s">
        <v>137</v>
      </c>
      <c r="B18" s="174">
        <v>16679.91</v>
      </c>
      <c r="C18" s="52" t="s">
        <v>122</v>
      </c>
      <c r="D18" s="50"/>
      <c r="E18" s="50"/>
      <c r="F18" s="50"/>
      <c r="G18" s="50"/>
      <c r="H18" s="50"/>
      <c r="I18" s="50"/>
      <c r="J18" s="50">
        <f t="shared" si="0"/>
        <v>0</v>
      </c>
      <c r="K18" s="52"/>
    </row>
    <row r="19" spans="1:11" x14ac:dyDescent="0.4">
      <c r="A19" s="52" t="s">
        <v>61</v>
      </c>
      <c r="B19" s="87" t="s">
        <v>145</v>
      </c>
      <c r="C19" s="87"/>
      <c r="D19" s="50">
        <v>500</v>
      </c>
      <c r="E19" s="50">
        <f>D19</f>
        <v>500</v>
      </c>
      <c r="F19" s="50">
        <f>E19</f>
        <v>500</v>
      </c>
      <c r="G19" s="50">
        <f>F19</f>
        <v>500</v>
      </c>
      <c r="H19" s="50">
        <f>G19</f>
        <v>500</v>
      </c>
      <c r="I19" s="50">
        <f>H19</f>
        <v>500</v>
      </c>
      <c r="J19" s="50">
        <f t="shared" si="0"/>
        <v>3000</v>
      </c>
      <c r="K19" s="52"/>
    </row>
    <row r="20" spans="1:11" x14ac:dyDescent="0.4">
      <c r="A20" s="52" t="s">
        <v>120</v>
      </c>
      <c r="B20" s="87" t="s">
        <v>146</v>
      </c>
      <c r="C20" s="87"/>
      <c r="D20" s="50">
        <v>2000</v>
      </c>
      <c r="E20" s="66"/>
      <c r="F20" s="66"/>
      <c r="G20" s="66"/>
      <c r="H20" s="66"/>
      <c r="I20" s="66"/>
      <c r="J20" s="66">
        <f>D20</f>
        <v>2000</v>
      </c>
      <c r="K20" s="52"/>
    </row>
    <row r="21" spans="1:11" x14ac:dyDescent="0.4">
      <c r="A21" s="52" t="s">
        <v>102</v>
      </c>
      <c r="B21" s="50">
        <v>50</v>
      </c>
      <c r="C21" s="52" t="s">
        <v>121</v>
      </c>
      <c r="D21" s="66">
        <f>B21</f>
        <v>50</v>
      </c>
      <c r="E21" s="66">
        <f>D21</f>
        <v>50</v>
      </c>
      <c r="F21" s="66">
        <f>E21</f>
        <v>50</v>
      </c>
      <c r="G21" s="66">
        <f>F21</f>
        <v>50</v>
      </c>
      <c r="H21" s="66">
        <f>G21</f>
        <v>50</v>
      </c>
      <c r="I21" s="66">
        <f>H21</f>
        <v>50</v>
      </c>
      <c r="J21" s="50">
        <f t="shared" ref="J21:J26" si="3">SUM(D21:I21)</f>
        <v>300</v>
      </c>
      <c r="K21" s="52"/>
    </row>
    <row r="22" spans="1:11" x14ac:dyDescent="0.4">
      <c r="A22" s="52" t="s">
        <v>103</v>
      </c>
      <c r="B22" s="50">
        <v>100</v>
      </c>
      <c r="C22" s="52" t="s">
        <v>121</v>
      </c>
      <c r="D22" s="66">
        <f t="shared" ref="D22:I22" si="4">$B$22</f>
        <v>100</v>
      </c>
      <c r="E22" s="66">
        <f t="shared" si="4"/>
        <v>100</v>
      </c>
      <c r="F22" s="66">
        <f t="shared" si="4"/>
        <v>100</v>
      </c>
      <c r="G22" s="66">
        <f t="shared" si="4"/>
        <v>100</v>
      </c>
      <c r="H22" s="66">
        <f t="shared" si="4"/>
        <v>100</v>
      </c>
      <c r="I22" s="66">
        <f t="shared" si="4"/>
        <v>100</v>
      </c>
      <c r="J22" s="50">
        <f t="shared" si="3"/>
        <v>600</v>
      </c>
      <c r="K22" s="52"/>
    </row>
    <row r="23" spans="1:11" x14ac:dyDescent="0.4">
      <c r="A23" s="52" t="s">
        <v>118</v>
      </c>
      <c r="B23" s="50">
        <v>5000</v>
      </c>
      <c r="C23" s="52" t="s">
        <v>138</v>
      </c>
      <c r="D23" s="66"/>
      <c r="E23" s="66"/>
      <c r="F23" s="66"/>
      <c r="G23" s="66"/>
      <c r="H23" s="66"/>
      <c r="I23" s="66"/>
      <c r="J23" s="50">
        <f t="shared" si="3"/>
        <v>0</v>
      </c>
      <c r="K23" s="52"/>
    </row>
    <row r="24" spans="1:11" x14ac:dyDescent="0.4">
      <c r="A24" s="52" t="s">
        <v>279</v>
      </c>
      <c r="B24" s="50">
        <v>15000</v>
      </c>
      <c r="C24" s="52" t="s">
        <v>138</v>
      </c>
      <c r="D24" s="66"/>
      <c r="E24" s="66">
        <v>20000</v>
      </c>
      <c r="F24" s="66"/>
      <c r="G24" s="66"/>
      <c r="H24" s="66"/>
      <c r="I24" s="66"/>
      <c r="J24" s="50">
        <f t="shared" si="3"/>
        <v>20000</v>
      </c>
      <c r="K24" s="52"/>
    </row>
    <row r="25" spans="1:11" x14ac:dyDescent="0.4">
      <c r="A25" s="52" t="s">
        <v>148</v>
      </c>
      <c r="B25" s="50">
        <v>20000</v>
      </c>
      <c r="C25" s="52" t="s">
        <v>122</v>
      </c>
      <c r="D25" s="50"/>
      <c r="E25" s="50">
        <f>B25/5</f>
        <v>4000</v>
      </c>
      <c r="F25" s="50">
        <f>E25</f>
        <v>4000</v>
      </c>
      <c r="G25" s="50">
        <f>F25</f>
        <v>4000</v>
      </c>
      <c r="H25" s="50">
        <f>G25</f>
        <v>4000</v>
      </c>
      <c r="I25" s="50">
        <f>H25</f>
        <v>4000</v>
      </c>
      <c r="J25" s="50">
        <f t="shared" si="3"/>
        <v>20000</v>
      </c>
      <c r="K25" s="52"/>
    </row>
    <row r="26" spans="1:11" x14ac:dyDescent="0.4">
      <c r="A26" s="52" t="s">
        <v>139</v>
      </c>
      <c r="B26" s="50">
        <v>23500</v>
      </c>
      <c r="C26" s="52"/>
      <c r="D26" s="50"/>
      <c r="E26" s="50"/>
      <c r="F26" s="50"/>
      <c r="G26" s="50"/>
      <c r="H26" s="50"/>
      <c r="I26" s="50"/>
      <c r="J26" s="50">
        <f t="shared" si="3"/>
        <v>0</v>
      </c>
      <c r="K26" s="52"/>
    </row>
    <row r="27" spans="1:11" x14ac:dyDescent="0.4">
      <c r="A27" s="52" t="s">
        <v>155</v>
      </c>
      <c r="B27" s="50"/>
      <c r="C27" s="52"/>
      <c r="D27" s="50"/>
      <c r="E27" s="50"/>
      <c r="F27" s="50"/>
      <c r="G27" s="50"/>
      <c r="H27" s="50"/>
      <c r="I27" s="50"/>
      <c r="J27" s="50"/>
      <c r="K27" s="52"/>
    </row>
    <row r="28" spans="1:11" x14ac:dyDescent="0.4">
      <c r="A28" s="171" t="s">
        <v>105</v>
      </c>
      <c r="B28" s="52"/>
      <c r="C28" s="52"/>
      <c r="D28" s="50">
        <f t="shared" ref="D28:I28" si="5">SUM(D11:D26)</f>
        <v>13950</v>
      </c>
      <c r="E28" s="50">
        <f t="shared" si="5"/>
        <v>52616.666666666672</v>
      </c>
      <c r="F28" s="50">
        <f t="shared" si="5"/>
        <v>22616.666666666668</v>
      </c>
      <c r="G28" s="50">
        <f t="shared" si="5"/>
        <v>22616.666666666668</v>
      </c>
      <c r="H28" s="50">
        <f t="shared" si="5"/>
        <v>22616.666666666668</v>
      </c>
      <c r="I28" s="50">
        <f t="shared" si="5"/>
        <v>22616.666666666668</v>
      </c>
      <c r="J28" s="50">
        <f>SUM(D28:I28)</f>
        <v>157033.33333333334</v>
      </c>
      <c r="K28" s="66"/>
    </row>
    <row r="29" spans="1:11" x14ac:dyDescent="0.4">
      <c r="A29" s="52" t="s">
        <v>136</v>
      </c>
      <c r="B29" s="84">
        <v>0.1</v>
      </c>
      <c r="C29" s="52"/>
      <c r="D29" s="50">
        <f t="shared" ref="D29:I29" si="6">D28*$B$29</f>
        <v>1395</v>
      </c>
      <c r="E29" s="50">
        <f t="shared" si="6"/>
        <v>5261.6666666666679</v>
      </c>
      <c r="F29" s="50">
        <f t="shared" si="6"/>
        <v>2261.666666666667</v>
      </c>
      <c r="G29" s="50">
        <f t="shared" si="6"/>
        <v>2261.666666666667</v>
      </c>
      <c r="H29" s="50">
        <f t="shared" si="6"/>
        <v>2261.666666666667</v>
      </c>
      <c r="I29" s="50">
        <f t="shared" si="6"/>
        <v>2261.666666666667</v>
      </c>
      <c r="J29" s="50">
        <f>SUM(D29:I29)</f>
        <v>15703.333333333339</v>
      </c>
      <c r="K29" s="52"/>
    </row>
    <row r="30" spans="1:11" x14ac:dyDescent="0.4">
      <c r="A30" s="52" t="s">
        <v>104</v>
      </c>
      <c r="B30" s="52"/>
      <c r="C30" s="52"/>
      <c r="D30" s="50">
        <f t="shared" ref="D30:I30" si="7">D6+D7-D28-D29</f>
        <v>110928.64049999999</v>
      </c>
      <c r="E30" s="50">
        <f t="shared" si="7"/>
        <v>-56604.692833333334</v>
      </c>
      <c r="F30" s="50">
        <f t="shared" si="7"/>
        <v>-23604.692833333334</v>
      </c>
      <c r="G30" s="50">
        <f t="shared" si="7"/>
        <v>-23604.692833333334</v>
      </c>
      <c r="H30" s="50">
        <f t="shared" si="7"/>
        <v>-23604.692833333334</v>
      </c>
      <c r="I30" s="50">
        <f t="shared" si="7"/>
        <v>-23604.692833333334</v>
      </c>
      <c r="J30" s="50">
        <f>SUM(D30:I30)</f>
        <v>-40094.823666666678</v>
      </c>
      <c r="K30" s="52"/>
    </row>
    <row r="31" spans="1:11" x14ac:dyDescent="0.4">
      <c r="A31" s="52" t="s">
        <v>280</v>
      </c>
      <c r="B31" s="52"/>
      <c r="C31" s="52"/>
      <c r="D31" s="50">
        <f>D8-D28-D29+'Act vs Bud'!C33</f>
        <v>75655.090500000006</v>
      </c>
      <c r="E31" s="50">
        <f>D31+E30</f>
        <v>19050.397666666671</v>
      </c>
      <c r="F31" s="50">
        <f>E31+F30</f>
        <v>-4554.2951666666631</v>
      </c>
      <c r="G31" s="50">
        <f>F31+G30</f>
        <v>-28158.987999999998</v>
      </c>
      <c r="H31" s="50">
        <f>G31+H30</f>
        <v>-51763.680833333332</v>
      </c>
      <c r="I31" s="50">
        <f>H31+I30</f>
        <v>-75368.373666666666</v>
      </c>
      <c r="J31" s="50">
        <f>I31</f>
        <v>-75368.373666666666</v>
      </c>
      <c r="K31" s="52"/>
    </row>
    <row r="32" spans="1:11" ht="13.4" customHeight="1" x14ac:dyDescent="0.4">
      <c r="A32" s="173" t="s">
        <v>286</v>
      </c>
      <c r="B32" s="52"/>
      <c r="C32" s="52"/>
      <c r="D32" s="50"/>
      <c r="E32" s="50"/>
      <c r="F32" s="50"/>
      <c r="G32" s="50"/>
      <c r="H32" s="50"/>
      <c r="I32" s="50"/>
      <c r="J32" s="50"/>
      <c r="K32" s="52"/>
    </row>
    <row r="33" spans="1:11" x14ac:dyDescent="0.4">
      <c r="A33" s="52"/>
      <c r="B33" s="52"/>
      <c r="C33" s="52"/>
      <c r="D33" s="50"/>
      <c r="E33" s="50"/>
      <c r="F33" s="50"/>
      <c r="G33" s="50"/>
      <c r="H33" s="50"/>
      <c r="I33" s="50"/>
      <c r="K33" s="52"/>
    </row>
    <row r="34" spans="1:11" x14ac:dyDescent="0.4">
      <c r="A34" s="52" t="s">
        <v>284</v>
      </c>
      <c r="B34" s="52"/>
      <c r="C34" s="52"/>
      <c r="D34" s="66">
        <f>J31-'Board budget FY22'!O31</f>
        <v>69711.274666666679</v>
      </c>
      <c r="E34" s="66" t="s">
        <v>283</v>
      </c>
      <c r="F34" s="66"/>
      <c r="G34" s="66"/>
      <c r="H34" s="66"/>
      <c r="I34" s="66"/>
      <c r="J34" s="52"/>
      <c r="K34" s="52"/>
    </row>
    <row r="35" spans="1:11" x14ac:dyDescent="0.4">
      <c r="A35" s="52"/>
      <c r="B35" s="52"/>
      <c r="C35" s="52"/>
      <c r="D35" s="66"/>
      <c r="E35" s="66"/>
      <c r="F35" s="66"/>
      <c r="G35" s="66"/>
      <c r="H35" s="66"/>
      <c r="I35" s="66"/>
      <c r="J35" s="52"/>
      <c r="K35" s="52"/>
    </row>
    <row r="36" spans="1:11" x14ac:dyDescent="0.4">
      <c r="A36" s="52"/>
      <c r="B36" s="52"/>
      <c r="C36" s="52"/>
      <c r="D36" s="66"/>
      <c r="E36" s="66"/>
      <c r="F36" s="66"/>
      <c r="G36" s="66"/>
      <c r="H36" s="66"/>
      <c r="I36" s="66"/>
      <c r="J36" s="52"/>
      <c r="K36" s="52"/>
    </row>
    <row r="38" spans="1:11" x14ac:dyDescent="0.4">
      <c r="B38" s="86"/>
      <c r="C38" s="86"/>
    </row>
    <row r="39" spans="1:11" x14ac:dyDescent="0.4">
      <c r="C39" s="86"/>
    </row>
    <row r="40" spans="1:11" x14ac:dyDescent="0.4">
      <c r="C40" s="86"/>
    </row>
  </sheetData>
  <mergeCells count="1">
    <mergeCell ref="B2:C2"/>
  </mergeCells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A7828-72F7-4842-BBBF-92FF6FE90285}">
  <dimension ref="A1:S37"/>
  <sheetViews>
    <sheetView tabSelected="1" workbookViewId="0">
      <selection sqref="A1:Q1048576"/>
    </sheetView>
  </sheetViews>
  <sheetFormatPr defaultRowHeight="14.6" x14ac:dyDescent="0.4"/>
  <cols>
    <col min="1" max="1" width="30.3046875" bestFit="1" customWidth="1"/>
    <col min="2" max="2" width="13.69140625" hidden="1" customWidth="1"/>
    <col min="3" max="3" width="7.765625" hidden="1" customWidth="1"/>
    <col min="4" max="4" width="14.69140625" hidden="1" customWidth="1"/>
    <col min="5" max="5" width="11.3046875" bestFit="1" customWidth="1"/>
    <col min="6" max="6" width="23.3046875" bestFit="1" customWidth="1"/>
    <col min="7" max="7" width="12.4609375" bestFit="1" customWidth="1"/>
    <col min="8" max="8" width="13.84375" bestFit="1" customWidth="1"/>
    <col min="9" max="12" width="11.3046875" bestFit="1" customWidth="1"/>
    <col min="13" max="13" width="10.53515625" bestFit="1" customWidth="1"/>
    <col min="14" max="16" width="11.3046875" bestFit="1" customWidth="1"/>
    <col min="17" max="17" width="11" bestFit="1" customWidth="1"/>
    <col min="18" max="18" width="11.84375" bestFit="1" customWidth="1"/>
    <col min="19" max="19" width="11" bestFit="1" customWidth="1"/>
    <col min="20" max="44" width="9.07421875" customWidth="1"/>
  </cols>
  <sheetData>
    <row r="1" spans="1:19" s="52" customFormat="1" x14ac:dyDescent="0.4">
      <c r="D1" s="92"/>
    </row>
    <row r="2" spans="1:19" ht="15" thickBot="1" x14ac:dyDescent="0.45">
      <c r="A2" s="91" t="s">
        <v>250</v>
      </c>
      <c r="B2" s="52"/>
      <c r="C2" s="52"/>
      <c r="D2" s="93"/>
      <c r="E2" s="53" t="s">
        <v>93</v>
      </c>
      <c r="F2" s="53"/>
      <c r="G2" s="53"/>
      <c r="H2" s="53"/>
      <c r="I2" s="53"/>
      <c r="J2" s="53"/>
      <c r="K2" s="53" t="s">
        <v>92</v>
      </c>
      <c r="L2" s="52"/>
      <c r="M2" s="52"/>
      <c r="N2" s="52"/>
      <c r="O2" s="52"/>
      <c r="P2" s="52"/>
      <c r="Q2" s="52"/>
    </row>
    <row r="3" spans="1:19" ht="15" thickBot="1" x14ac:dyDescent="0.45">
      <c r="A3" s="52" t="s">
        <v>70</v>
      </c>
      <c r="B3" s="52" t="s">
        <v>85</v>
      </c>
      <c r="C3" s="52"/>
      <c r="D3" s="92"/>
      <c r="E3" s="138" t="s">
        <v>142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9"/>
      <c r="Q3" s="53" t="s">
        <v>88</v>
      </c>
    </row>
    <row r="4" spans="1:19" ht="15" thickBot="1" x14ac:dyDescent="0.45">
      <c r="B4" s="52"/>
      <c r="C4" s="52"/>
      <c r="D4" s="93"/>
      <c r="E4" s="61" t="s">
        <v>73</v>
      </c>
      <c r="F4" s="61" t="s">
        <v>79</v>
      </c>
      <c r="G4" s="61" t="s">
        <v>80</v>
      </c>
      <c r="H4" s="61" t="s">
        <v>78</v>
      </c>
      <c r="I4" s="61" t="s">
        <v>76</v>
      </c>
      <c r="J4" s="61" t="s">
        <v>77</v>
      </c>
      <c r="K4" s="61" t="s">
        <v>81</v>
      </c>
      <c r="L4" s="61" t="s">
        <v>82</v>
      </c>
      <c r="M4" s="61" t="s">
        <v>83</v>
      </c>
      <c r="N4" s="61" t="s">
        <v>84</v>
      </c>
      <c r="O4" s="61" t="s">
        <v>71</v>
      </c>
      <c r="P4" s="62" t="s">
        <v>72</v>
      </c>
      <c r="Q4" s="52"/>
    </row>
    <row r="5" spans="1:19" x14ac:dyDescent="0.4">
      <c r="A5" s="63" t="s">
        <v>74</v>
      </c>
      <c r="B5" s="52"/>
      <c r="C5" s="52"/>
      <c r="D5" s="9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</row>
    <row r="6" spans="1:19" x14ac:dyDescent="0.4">
      <c r="A6" s="52" t="s">
        <v>56</v>
      </c>
      <c r="B6" s="31" t="s">
        <v>108</v>
      </c>
      <c r="C6" s="52"/>
      <c r="D6" s="92"/>
      <c r="E6" s="64">
        <v>875000</v>
      </c>
      <c r="F6" s="52"/>
      <c r="G6" s="52"/>
      <c r="H6" s="52"/>
      <c r="I6" s="52"/>
      <c r="J6" s="52"/>
      <c r="K6" s="65">
        <v>875000</v>
      </c>
      <c r="L6" s="52"/>
      <c r="M6" s="52"/>
      <c r="N6" s="52"/>
      <c r="O6" s="52"/>
      <c r="P6" s="52"/>
      <c r="Q6" s="66">
        <f t="shared" ref="Q6:Q11" si="0">SUM(E6:P6)</f>
        <v>1750000</v>
      </c>
    </row>
    <row r="7" spans="1:19" x14ac:dyDescent="0.4">
      <c r="A7" s="52" t="s">
        <v>75</v>
      </c>
      <c r="B7" s="50">
        <v>1600000</v>
      </c>
      <c r="C7" s="52"/>
      <c r="D7" s="94"/>
      <c r="E7" s="66"/>
      <c r="F7" s="66">
        <v>111678</v>
      </c>
      <c r="G7" s="66"/>
      <c r="H7" s="66"/>
      <c r="I7" s="160">
        <v>873091</v>
      </c>
      <c r="J7" s="66"/>
      <c r="K7" s="66"/>
      <c r="L7" s="66"/>
      <c r="M7" s="66"/>
      <c r="N7" s="160">
        <v>603127</v>
      </c>
      <c r="O7" s="66"/>
      <c r="P7" s="66"/>
      <c r="Q7" s="66">
        <f t="shared" si="0"/>
        <v>1587896</v>
      </c>
      <c r="S7" s="109">
        <f>F7/B7</f>
        <v>6.9798750000000007E-2</v>
      </c>
    </row>
    <row r="8" spans="1:19" x14ac:dyDescent="0.4">
      <c r="A8" s="52" t="s">
        <v>6</v>
      </c>
      <c r="B8" s="50">
        <v>825000</v>
      </c>
      <c r="C8" s="50"/>
      <c r="D8" s="94"/>
      <c r="E8" s="66"/>
      <c r="F8" s="66">
        <v>70361</v>
      </c>
      <c r="G8" s="66"/>
      <c r="H8" s="66"/>
      <c r="I8" s="66">
        <f>(2/3)*886218.86</f>
        <v>590812.57333333325</v>
      </c>
      <c r="J8" s="66"/>
      <c r="K8" s="66"/>
      <c r="L8" s="66"/>
      <c r="M8" s="66"/>
      <c r="N8" s="66">
        <f>(1/3)*886218.86</f>
        <v>295406.28666666662</v>
      </c>
      <c r="O8" s="66"/>
      <c r="P8" s="66"/>
      <c r="Q8" s="66">
        <f t="shared" si="0"/>
        <v>956579.85999999987</v>
      </c>
      <c r="S8" s="109">
        <f>F8/B8</f>
        <v>8.5286060606060601E-2</v>
      </c>
    </row>
    <row r="9" spans="1:19" x14ac:dyDescent="0.4">
      <c r="A9" s="52" t="s">
        <v>86</v>
      </c>
      <c r="B9" s="50">
        <v>332400</v>
      </c>
      <c r="C9" s="50"/>
      <c r="D9" s="83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66"/>
    </row>
    <row r="10" spans="1:19" x14ac:dyDescent="0.4">
      <c r="A10" s="52" t="s">
        <v>68</v>
      </c>
      <c r="B10" s="50">
        <f>('10-year cash flow'!B23+5000000)</f>
        <v>8469775</v>
      </c>
      <c r="C10" s="67">
        <v>4.0000000000000001E-3</v>
      </c>
      <c r="D10" s="94"/>
      <c r="E10" s="66">
        <f t="shared" ref="E10:P10" si="1">$B$10*$C$10/12</f>
        <v>2823.2583333333332</v>
      </c>
      <c r="F10" s="66">
        <f t="shared" si="1"/>
        <v>2823.2583333333332</v>
      </c>
      <c r="G10" s="66">
        <f t="shared" si="1"/>
        <v>2823.2583333333332</v>
      </c>
      <c r="H10" s="66">
        <f t="shared" si="1"/>
        <v>2823.2583333333332</v>
      </c>
      <c r="I10" s="66">
        <f t="shared" si="1"/>
        <v>2823.2583333333332</v>
      </c>
      <c r="J10" s="66">
        <f t="shared" si="1"/>
        <v>2823.2583333333332</v>
      </c>
      <c r="K10" s="66">
        <f t="shared" si="1"/>
        <v>2823.2583333333332</v>
      </c>
      <c r="L10" s="66">
        <f t="shared" si="1"/>
        <v>2823.2583333333332</v>
      </c>
      <c r="M10" s="66">
        <f t="shared" si="1"/>
        <v>2823.2583333333332</v>
      </c>
      <c r="N10" s="66">
        <f t="shared" si="1"/>
        <v>2823.2583333333332</v>
      </c>
      <c r="O10" s="66">
        <f t="shared" si="1"/>
        <v>2823.2583333333332</v>
      </c>
      <c r="P10" s="66">
        <f t="shared" si="1"/>
        <v>2823.2583333333332</v>
      </c>
      <c r="Q10" s="66">
        <f t="shared" si="0"/>
        <v>33879.099999999991</v>
      </c>
      <c r="R10" s="42" t="s">
        <v>117</v>
      </c>
    </row>
    <row r="11" spans="1:19" x14ac:dyDescent="0.4">
      <c r="A11" s="52" t="s">
        <v>94</v>
      </c>
      <c r="B11" s="52"/>
      <c r="C11" s="52"/>
      <c r="D11" s="83"/>
      <c r="E11" s="50">
        <f t="shared" ref="E11:P11" si="2">SUM(E6:E10)</f>
        <v>877823.2583333333</v>
      </c>
      <c r="F11" s="50">
        <f t="shared" si="2"/>
        <v>184862.25833333333</v>
      </c>
      <c r="G11" s="50">
        <f t="shared" si="2"/>
        <v>2823.2583333333332</v>
      </c>
      <c r="H11" s="50">
        <f t="shared" si="2"/>
        <v>2823.2583333333332</v>
      </c>
      <c r="I11" s="50">
        <f t="shared" si="2"/>
        <v>1466726.8316666665</v>
      </c>
      <c r="J11" s="50">
        <f t="shared" si="2"/>
        <v>2823.2583333333332</v>
      </c>
      <c r="K11" s="50">
        <f t="shared" si="2"/>
        <v>877823.2583333333</v>
      </c>
      <c r="L11" s="50">
        <f t="shared" si="2"/>
        <v>2823.2583333333332</v>
      </c>
      <c r="M11" s="50">
        <f t="shared" si="2"/>
        <v>2823.2583333333332</v>
      </c>
      <c r="N11" s="50">
        <f t="shared" si="2"/>
        <v>901356.54499999993</v>
      </c>
      <c r="O11" s="50">
        <f t="shared" si="2"/>
        <v>2823.2583333333332</v>
      </c>
      <c r="P11" s="50">
        <f t="shared" si="2"/>
        <v>2823.2583333333332</v>
      </c>
      <c r="Q11" s="66">
        <f t="shared" si="0"/>
        <v>4328354.9600000009</v>
      </c>
      <c r="R11" s="43">
        <f>SUM(Q6:Q10)</f>
        <v>4328354.959999999</v>
      </c>
    </row>
    <row r="12" spans="1:19" x14ac:dyDescent="0.4">
      <c r="A12" s="52"/>
      <c r="B12" s="52"/>
      <c r="C12" s="52"/>
      <c r="D12" s="9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66"/>
    </row>
    <row r="13" spans="1:19" x14ac:dyDescent="0.4">
      <c r="A13" s="63" t="s">
        <v>89</v>
      </c>
      <c r="B13" s="53" t="s">
        <v>109</v>
      </c>
      <c r="C13" s="52"/>
      <c r="D13" s="92"/>
      <c r="E13" s="52"/>
      <c r="F13" s="52"/>
      <c r="G13" s="52"/>
      <c r="H13" s="52"/>
      <c r="I13" s="52"/>
      <c r="J13" s="52"/>
      <c r="K13" s="50"/>
      <c r="L13" s="52"/>
      <c r="M13" s="52"/>
      <c r="N13" s="52"/>
      <c r="O13" s="52"/>
      <c r="P13" s="52"/>
      <c r="Q13" s="66"/>
    </row>
    <row r="14" spans="1:19" x14ac:dyDescent="0.4">
      <c r="A14" s="68" t="s">
        <v>288</v>
      </c>
      <c r="B14" s="69">
        <v>4.2000000000000003E-2</v>
      </c>
      <c r="C14" s="69">
        <v>0.03</v>
      </c>
      <c r="D14" s="92"/>
      <c r="E14" s="50">
        <f>1000000*(1+IF(B14&gt;C14,C14,B14))</f>
        <v>1030000</v>
      </c>
      <c r="F14" s="52"/>
      <c r="G14" s="52"/>
      <c r="H14" s="52"/>
      <c r="I14" s="52"/>
      <c r="J14" s="52"/>
      <c r="K14" s="50">
        <f>E14</f>
        <v>1030000</v>
      </c>
      <c r="L14" s="52"/>
      <c r="M14" s="52"/>
      <c r="N14" s="52"/>
      <c r="O14" s="52"/>
      <c r="P14" s="52"/>
      <c r="Q14" s="66">
        <f t="shared" ref="Q14:Q20" si="3">SUM(E14:P14)</f>
        <v>2060000</v>
      </c>
    </row>
    <row r="15" spans="1:19" x14ac:dyDescent="0.4">
      <c r="A15" s="52" t="s">
        <v>111</v>
      </c>
      <c r="B15" s="70">
        <f>'10-year cash flow'!D11</f>
        <v>565500</v>
      </c>
      <c r="C15" s="52" t="s">
        <v>91</v>
      </c>
      <c r="D15" s="83"/>
      <c r="E15" s="66">
        <f>$B$15/12</f>
        <v>47125</v>
      </c>
      <c r="F15" s="66">
        <f t="shared" ref="F15:P15" si="4">$B$15/12</f>
        <v>47125</v>
      </c>
      <c r="G15" s="66">
        <f t="shared" si="4"/>
        <v>47125</v>
      </c>
      <c r="H15" s="66">
        <f t="shared" si="4"/>
        <v>47125</v>
      </c>
      <c r="I15" s="66">
        <f t="shared" si="4"/>
        <v>47125</v>
      </c>
      <c r="J15" s="66">
        <f t="shared" si="4"/>
        <v>47125</v>
      </c>
      <c r="K15" s="66">
        <f t="shared" si="4"/>
        <v>47125</v>
      </c>
      <c r="L15" s="66">
        <f t="shared" si="4"/>
        <v>47125</v>
      </c>
      <c r="M15" s="66">
        <f t="shared" si="4"/>
        <v>47125</v>
      </c>
      <c r="N15" s="66">
        <f t="shared" si="4"/>
        <v>47125</v>
      </c>
      <c r="O15" s="66">
        <f t="shared" si="4"/>
        <v>47125</v>
      </c>
      <c r="P15" s="66">
        <f t="shared" si="4"/>
        <v>47125</v>
      </c>
      <c r="Q15" s="66">
        <f>SUM(E15:P15)</f>
        <v>565500</v>
      </c>
      <c r="R15" s="43">
        <f>SUM(E15:P15)</f>
        <v>565500</v>
      </c>
    </row>
    <row r="16" spans="1:19" x14ac:dyDescent="0.4">
      <c r="A16" s="52" t="s">
        <v>112</v>
      </c>
      <c r="B16" s="52"/>
      <c r="C16" s="52"/>
      <c r="D16" s="83"/>
      <c r="E16" s="50">
        <f t="shared" ref="E16:M16" si="5">$Q$16/9</f>
        <v>17149.444444444445</v>
      </c>
      <c r="F16" s="50">
        <f t="shared" si="5"/>
        <v>17149.444444444445</v>
      </c>
      <c r="G16" s="50">
        <f t="shared" si="5"/>
        <v>17149.444444444445</v>
      </c>
      <c r="H16" s="50">
        <f t="shared" si="5"/>
        <v>17149.444444444445</v>
      </c>
      <c r="I16" s="50">
        <f t="shared" si="5"/>
        <v>17149.444444444445</v>
      </c>
      <c r="J16" s="50">
        <f t="shared" si="5"/>
        <v>17149.444444444445</v>
      </c>
      <c r="K16" s="50">
        <f t="shared" si="5"/>
        <v>17149.444444444445</v>
      </c>
      <c r="L16" s="50">
        <f t="shared" si="5"/>
        <v>17149.444444444445</v>
      </c>
      <c r="M16" s="50">
        <f t="shared" si="5"/>
        <v>17149.444444444445</v>
      </c>
      <c r="N16" s="71" t="s">
        <v>96</v>
      </c>
      <c r="O16" s="50">
        <v>0</v>
      </c>
      <c r="P16" s="50">
        <v>0</v>
      </c>
      <c r="Q16" s="66">
        <f>R16</f>
        <v>154345</v>
      </c>
      <c r="R16" s="43">
        <f>Loans!C11</f>
        <v>154345</v>
      </c>
    </row>
    <row r="17" spans="1:18" x14ac:dyDescent="0.4">
      <c r="A17" s="52" t="s">
        <v>113</v>
      </c>
      <c r="B17" s="52"/>
      <c r="C17" s="52"/>
      <c r="D17" s="83"/>
      <c r="E17" s="50">
        <f>$Q$17/12</f>
        <v>13802</v>
      </c>
      <c r="F17" s="50">
        <f t="shared" ref="F17:P17" si="6">$Q$17/12</f>
        <v>13802</v>
      </c>
      <c r="G17" s="50">
        <f t="shared" si="6"/>
        <v>13802</v>
      </c>
      <c r="H17" s="50">
        <f t="shared" si="6"/>
        <v>13802</v>
      </c>
      <c r="I17" s="50">
        <f t="shared" si="6"/>
        <v>13802</v>
      </c>
      <c r="J17" s="50">
        <f t="shared" si="6"/>
        <v>13802</v>
      </c>
      <c r="K17" s="50">
        <f t="shared" si="6"/>
        <v>13802</v>
      </c>
      <c r="L17" s="50">
        <f t="shared" si="6"/>
        <v>13802</v>
      </c>
      <c r="M17" s="50">
        <f t="shared" si="6"/>
        <v>13802</v>
      </c>
      <c r="N17" s="50">
        <f t="shared" si="6"/>
        <v>13802</v>
      </c>
      <c r="O17" s="50">
        <f t="shared" si="6"/>
        <v>13802</v>
      </c>
      <c r="P17" s="50">
        <f t="shared" si="6"/>
        <v>13802</v>
      </c>
      <c r="Q17" s="66">
        <f>'10-year cash flow'!D13</f>
        <v>165624</v>
      </c>
      <c r="R17" s="43">
        <f>SUM(E17:P17)</f>
        <v>165624</v>
      </c>
    </row>
    <row r="18" spans="1:18" x14ac:dyDescent="0.4">
      <c r="A18" s="52" t="s">
        <v>114</v>
      </c>
      <c r="B18" s="52"/>
      <c r="C18" s="52"/>
      <c r="D18" s="83"/>
      <c r="E18" s="50">
        <f>'10-year cash flow'!$D$14/12</f>
        <v>19206.25</v>
      </c>
      <c r="F18" s="50">
        <f>'10-year cash flow'!$D$14/12</f>
        <v>19206.25</v>
      </c>
      <c r="G18" s="50">
        <f>'10-year cash flow'!$D$14/12</f>
        <v>19206.25</v>
      </c>
      <c r="H18" s="50">
        <f>'10-year cash flow'!$D$14/12</f>
        <v>19206.25</v>
      </c>
      <c r="I18" s="50">
        <f>'10-year cash flow'!$D$14/12</f>
        <v>19206.25</v>
      </c>
      <c r="J18" s="50">
        <f>'10-year cash flow'!$D$14/12</f>
        <v>19206.25</v>
      </c>
      <c r="K18" s="50">
        <f>'10-year cash flow'!$D$14/12</f>
        <v>19206.25</v>
      </c>
      <c r="L18" s="50">
        <f>'10-year cash flow'!$D$14/12</f>
        <v>19206.25</v>
      </c>
      <c r="M18" s="50">
        <f>'10-year cash flow'!$D$14/12</f>
        <v>19206.25</v>
      </c>
      <c r="N18" s="50">
        <f>'10-year cash flow'!$D$14/12</f>
        <v>19206.25</v>
      </c>
      <c r="O18" s="50">
        <f>'10-year cash flow'!$D$14/12</f>
        <v>19206.25</v>
      </c>
      <c r="P18" s="50">
        <f>'10-year cash flow'!$D$14/12</f>
        <v>19206.25</v>
      </c>
      <c r="Q18" s="66">
        <f>'10-year cash flow'!D14</f>
        <v>230475</v>
      </c>
      <c r="R18" s="43">
        <f>SUM(E18:P18)</f>
        <v>230475</v>
      </c>
    </row>
    <row r="19" spans="1:18" x14ac:dyDescent="0.4">
      <c r="A19" s="52" t="s">
        <v>110</v>
      </c>
      <c r="B19" s="50">
        <v>250000</v>
      </c>
      <c r="C19" s="52"/>
      <c r="D19" s="94"/>
      <c r="E19" s="66">
        <f t="shared" ref="E19:P19" si="7">$B$19/12</f>
        <v>20833.333333333332</v>
      </c>
      <c r="F19" s="66">
        <f t="shared" si="7"/>
        <v>20833.333333333332</v>
      </c>
      <c r="G19" s="66">
        <f t="shared" si="7"/>
        <v>20833.333333333332</v>
      </c>
      <c r="H19" s="66">
        <f t="shared" si="7"/>
        <v>20833.333333333332</v>
      </c>
      <c r="I19" s="66">
        <f t="shared" si="7"/>
        <v>20833.333333333332</v>
      </c>
      <c r="J19" s="66">
        <f t="shared" si="7"/>
        <v>20833.333333333332</v>
      </c>
      <c r="K19" s="66">
        <f t="shared" si="7"/>
        <v>20833.333333333332</v>
      </c>
      <c r="L19" s="66">
        <f t="shared" si="7"/>
        <v>20833.333333333332</v>
      </c>
      <c r="M19" s="66">
        <f t="shared" si="7"/>
        <v>20833.333333333332</v>
      </c>
      <c r="N19" s="66">
        <f t="shared" si="7"/>
        <v>20833.333333333332</v>
      </c>
      <c r="O19" s="66">
        <f t="shared" si="7"/>
        <v>20833.333333333332</v>
      </c>
      <c r="P19" s="66">
        <f t="shared" si="7"/>
        <v>20833.333333333332</v>
      </c>
      <c r="Q19" s="66">
        <f t="shared" si="3"/>
        <v>250000.00000000003</v>
      </c>
    </row>
    <row r="20" spans="1:18" x14ac:dyDescent="0.4">
      <c r="A20" s="52" t="s">
        <v>94</v>
      </c>
      <c r="B20" s="52"/>
      <c r="C20" s="52"/>
      <c r="D20" s="83"/>
      <c r="E20" s="50">
        <f t="shared" ref="E20:P20" si="8">SUM(E14:E19)</f>
        <v>1148116.0277777778</v>
      </c>
      <c r="F20" s="50">
        <f t="shared" si="8"/>
        <v>118116.02777777777</v>
      </c>
      <c r="G20" s="50">
        <f t="shared" si="8"/>
        <v>118116.02777777777</v>
      </c>
      <c r="H20" s="50">
        <f t="shared" si="8"/>
        <v>118116.02777777777</v>
      </c>
      <c r="I20" s="50">
        <f t="shared" si="8"/>
        <v>118116.02777777777</v>
      </c>
      <c r="J20" s="50">
        <f t="shared" si="8"/>
        <v>118116.02777777777</v>
      </c>
      <c r="K20" s="50">
        <f t="shared" si="8"/>
        <v>1148116.0277777778</v>
      </c>
      <c r="L20" s="50">
        <f t="shared" si="8"/>
        <v>118116.02777777777</v>
      </c>
      <c r="M20" s="50">
        <f t="shared" si="8"/>
        <v>118116.02777777777</v>
      </c>
      <c r="N20" s="50">
        <f t="shared" si="8"/>
        <v>100966.58333333333</v>
      </c>
      <c r="O20" s="50">
        <f t="shared" si="8"/>
        <v>100966.58333333333</v>
      </c>
      <c r="P20" s="50">
        <f t="shared" si="8"/>
        <v>100966.58333333333</v>
      </c>
      <c r="Q20" s="66">
        <f t="shared" si="3"/>
        <v>3425944.0000000005</v>
      </c>
      <c r="R20" s="43">
        <f>SUM(Q14:Q19)</f>
        <v>3425944</v>
      </c>
    </row>
    <row r="21" spans="1:18" x14ac:dyDescent="0.4">
      <c r="A21" s="52"/>
      <c r="B21" s="52"/>
      <c r="C21" s="52"/>
      <c r="D21" s="9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66"/>
    </row>
    <row r="22" spans="1:18" s="44" customFormat="1" x14ac:dyDescent="0.4">
      <c r="A22" s="72" t="s">
        <v>95</v>
      </c>
      <c r="B22" s="73"/>
      <c r="C22" s="73"/>
      <c r="D22" s="95" t="s">
        <v>156</v>
      </c>
      <c r="E22" s="65">
        <f t="shared" ref="E22:P22" si="9">E11-E20</f>
        <v>-270292.76944444445</v>
      </c>
      <c r="F22" s="65">
        <f t="shared" si="9"/>
        <v>66746.230555555565</v>
      </c>
      <c r="G22" s="65">
        <f t="shared" si="9"/>
        <v>-115292.76944444444</v>
      </c>
      <c r="H22" s="65">
        <f t="shared" si="9"/>
        <v>-115292.76944444444</v>
      </c>
      <c r="I22" s="65">
        <f t="shared" si="9"/>
        <v>1348610.8038888888</v>
      </c>
      <c r="J22" s="65">
        <f t="shared" si="9"/>
        <v>-115292.76944444444</v>
      </c>
      <c r="K22" s="65">
        <f t="shared" si="9"/>
        <v>-270292.76944444445</v>
      </c>
      <c r="L22" s="65">
        <f t="shared" si="9"/>
        <v>-115292.76944444444</v>
      </c>
      <c r="M22" s="65">
        <f t="shared" si="9"/>
        <v>-115292.76944444444</v>
      </c>
      <c r="N22" s="65">
        <f t="shared" si="9"/>
        <v>800389.96166666655</v>
      </c>
      <c r="O22" s="65">
        <f t="shared" si="9"/>
        <v>-98143.324999999997</v>
      </c>
      <c r="P22" s="65">
        <f t="shared" si="9"/>
        <v>-98143.324999999997</v>
      </c>
      <c r="Q22" s="65">
        <f>SUM(E22:P22)</f>
        <v>902410.96</v>
      </c>
      <c r="R22" s="47">
        <f>R11-R20</f>
        <v>902410.95999999903</v>
      </c>
    </row>
    <row r="23" spans="1:18" x14ac:dyDescent="0.4">
      <c r="A23" s="31" t="s">
        <v>123</v>
      </c>
      <c r="B23" s="52"/>
      <c r="C23" s="52"/>
      <c r="D23" s="35">
        <v>630676</v>
      </c>
      <c r="E23" s="66">
        <f t="shared" ref="E23:P23" si="10">E22+D23</f>
        <v>360383.23055555555</v>
      </c>
      <c r="F23" s="66">
        <f t="shared" si="10"/>
        <v>427129.4611111111</v>
      </c>
      <c r="G23" s="66">
        <f t="shared" si="10"/>
        <v>311836.69166666665</v>
      </c>
      <c r="H23" s="66">
        <f t="shared" si="10"/>
        <v>196543.9222222222</v>
      </c>
      <c r="I23" s="66">
        <f t="shared" si="10"/>
        <v>1545154.726111111</v>
      </c>
      <c r="J23" s="66">
        <f t="shared" si="10"/>
        <v>1429861.9566666665</v>
      </c>
      <c r="K23" s="66">
        <f t="shared" si="10"/>
        <v>1159569.1872222221</v>
      </c>
      <c r="L23" s="66">
        <f t="shared" si="10"/>
        <v>1044276.4177777776</v>
      </c>
      <c r="M23" s="66">
        <f t="shared" si="10"/>
        <v>928983.6483333332</v>
      </c>
      <c r="N23" s="66">
        <f t="shared" si="10"/>
        <v>1729373.6099999999</v>
      </c>
      <c r="O23" s="66">
        <f t="shared" si="10"/>
        <v>1631230.2849999999</v>
      </c>
      <c r="P23" s="66">
        <f t="shared" si="10"/>
        <v>1533086.96</v>
      </c>
      <c r="Q23" s="66">
        <f>P23</f>
        <v>1533086.96</v>
      </c>
    </row>
    <row r="24" spans="1:18" x14ac:dyDescent="0.4">
      <c r="A24" s="52"/>
      <c r="B24" s="52"/>
      <c r="C24" s="52"/>
      <c r="D24" s="66"/>
      <c r="E24" s="66"/>
      <c r="F24" s="52"/>
      <c r="G24" s="52"/>
      <c r="H24" s="52"/>
      <c r="I24" s="52"/>
      <c r="J24" s="52"/>
      <c r="K24" s="66"/>
      <c r="L24" s="52"/>
      <c r="M24" s="52"/>
      <c r="N24" s="52"/>
      <c r="O24" s="52"/>
      <c r="P24" s="52"/>
      <c r="Q24" s="52"/>
    </row>
    <row r="25" spans="1:18" s="46" customFormat="1" x14ac:dyDescent="0.4">
      <c r="A25" s="52"/>
      <c r="B25" s="52"/>
      <c r="C25" s="52"/>
      <c r="D25" s="66"/>
      <c r="E25" s="66"/>
      <c r="F25" s="52"/>
      <c r="G25" s="52"/>
      <c r="H25" s="52"/>
      <c r="I25" s="52"/>
      <c r="J25" s="52"/>
      <c r="K25" s="45"/>
    </row>
    <row r="26" spans="1:18" x14ac:dyDescent="0.4">
      <c r="A26" s="63" t="s">
        <v>157</v>
      </c>
      <c r="B26" s="52"/>
      <c r="C26" s="52"/>
      <c r="D26" s="52"/>
      <c r="E26" s="66"/>
      <c r="F26" s="52" t="s">
        <v>59</v>
      </c>
      <c r="G26" s="52"/>
      <c r="H26" s="52"/>
      <c r="I26" s="52"/>
      <c r="J26" s="52"/>
      <c r="K26" s="43"/>
    </row>
    <row r="27" spans="1:18" x14ac:dyDescent="0.4">
      <c r="A27" s="52" t="s">
        <v>159</v>
      </c>
      <c r="B27" s="52"/>
      <c r="C27" s="52"/>
      <c r="D27" s="50">
        <v>1151966.9099999999</v>
      </c>
      <c r="E27" s="52"/>
      <c r="F27" s="66">
        <f>Q23</f>
        <v>1533086.96</v>
      </c>
      <c r="G27" s="52"/>
      <c r="H27" s="52"/>
      <c r="I27" s="52"/>
      <c r="J27" s="52"/>
      <c r="K27" s="43"/>
    </row>
    <row r="28" spans="1:18" x14ac:dyDescent="0.4">
      <c r="A28" s="52" t="s">
        <v>161</v>
      </c>
      <c r="B28" s="52"/>
      <c r="C28" s="52"/>
      <c r="D28" s="50">
        <v>1123756</v>
      </c>
      <c r="E28" s="52"/>
      <c r="F28" s="52"/>
      <c r="G28" s="52"/>
      <c r="H28" s="52"/>
      <c r="I28" s="52"/>
      <c r="J28" s="52"/>
      <c r="K28" s="43"/>
    </row>
    <row r="29" spans="1:18" x14ac:dyDescent="0.4">
      <c r="A29" s="52" t="s">
        <v>162</v>
      </c>
      <c r="B29" s="52"/>
      <c r="C29" s="52"/>
      <c r="D29" s="50">
        <v>4400000</v>
      </c>
      <c r="E29" s="52"/>
      <c r="F29" s="52" t="s">
        <v>165</v>
      </c>
      <c r="G29" s="52"/>
      <c r="H29" s="52" t="s">
        <v>167</v>
      </c>
      <c r="I29" s="52"/>
      <c r="J29" s="52"/>
      <c r="K29" s="43"/>
    </row>
    <row r="30" spans="1:18" x14ac:dyDescent="0.4">
      <c r="A30" s="52" t="s">
        <v>163</v>
      </c>
      <c r="B30" s="52"/>
      <c r="C30" s="52"/>
      <c r="D30" s="50">
        <v>2100000</v>
      </c>
      <c r="E30" s="52"/>
      <c r="F30" s="50" t="s">
        <v>166</v>
      </c>
      <c r="G30" s="66">
        <f>F27</f>
        <v>1533086.96</v>
      </c>
      <c r="H30" s="52"/>
      <c r="I30" s="52"/>
      <c r="J30" s="52"/>
    </row>
    <row r="31" spans="1:18" x14ac:dyDescent="0.4">
      <c r="A31" s="63" t="s">
        <v>158</v>
      </c>
      <c r="B31" s="52"/>
      <c r="C31" s="52"/>
      <c r="D31" s="52"/>
      <c r="E31" s="52"/>
      <c r="F31" s="52" t="s">
        <v>116</v>
      </c>
      <c r="G31" s="50">
        <v>3469775</v>
      </c>
      <c r="H31" s="52"/>
      <c r="I31" s="52"/>
      <c r="J31" s="52"/>
    </row>
    <row r="32" spans="1:18" x14ac:dyDescent="0.4">
      <c r="A32" s="52" t="s">
        <v>160</v>
      </c>
      <c r="B32" s="52"/>
      <c r="C32" s="52"/>
      <c r="D32" s="50">
        <v>-457255</v>
      </c>
      <c r="E32" s="52"/>
      <c r="F32" s="52" t="s">
        <v>169</v>
      </c>
      <c r="G32" s="66">
        <f>D34</f>
        <v>8318467.9100000001</v>
      </c>
      <c r="H32" s="52"/>
      <c r="I32" s="52"/>
      <c r="J32" s="52"/>
      <c r="N32" s="35"/>
      <c r="Q32" s="43"/>
    </row>
    <row r="33" spans="1:10" x14ac:dyDescent="0.4">
      <c r="A33" s="52"/>
      <c r="B33" s="52"/>
      <c r="C33" s="52"/>
      <c r="D33" s="52"/>
      <c r="E33" s="52"/>
      <c r="F33" s="52" t="s">
        <v>128</v>
      </c>
      <c r="G33" s="66">
        <f>SUM(G30:G32)</f>
        <v>13321329.870000001</v>
      </c>
      <c r="H33" s="52"/>
      <c r="I33" s="52"/>
      <c r="J33" s="52"/>
    </row>
    <row r="34" spans="1:10" x14ac:dyDescent="0.4">
      <c r="A34" s="52" t="s">
        <v>164</v>
      </c>
      <c r="B34" s="52"/>
      <c r="C34" s="52"/>
      <c r="D34" s="66">
        <f>SUM(D27:D32)</f>
        <v>8318467.9100000001</v>
      </c>
      <c r="E34" s="52"/>
      <c r="F34" s="52"/>
      <c r="G34" s="52"/>
      <c r="H34" s="52"/>
      <c r="I34" s="52"/>
      <c r="J34" s="52"/>
    </row>
    <row r="35" spans="1:10" x14ac:dyDescent="0.4">
      <c r="A35" s="52"/>
      <c r="B35" s="52"/>
      <c r="C35" s="52"/>
      <c r="D35" s="52"/>
      <c r="E35" s="52"/>
      <c r="F35" s="52"/>
      <c r="G35" s="52"/>
      <c r="H35" s="52"/>
      <c r="I35" s="52"/>
      <c r="J35" s="52"/>
    </row>
    <row r="36" spans="1:10" x14ac:dyDescent="0.4">
      <c r="A36" s="52"/>
      <c r="B36" s="52"/>
      <c r="C36" s="52"/>
      <c r="D36" s="52"/>
      <c r="E36" s="52"/>
      <c r="F36" s="52"/>
      <c r="G36" s="52"/>
      <c r="H36" s="52"/>
      <c r="I36" s="52"/>
      <c r="J36" s="52"/>
    </row>
    <row r="37" spans="1:10" x14ac:dyDescent="0.4">
      <c r="A37" s="52"/>
      <c r="B37" s="52"/>
      <c r="C37" s="52"/>
      <c r="D37" s="52"/>
      <c r="E37" s="52"/>
      <c r="F37" s="52"/>
      <c r="G37" s="52"/>
      <c r="H37" s="52"/>
      <c r="I37" s="52"/>
      <c r="J37" s="52"/>
    </row>
  </sheetData>
  <pageMargins left="0.7" right="0.7" top="0.75" bottom="0.75" header="0.3" footer="0.3"/>
  <pageSetup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"/>
  <sheetViews>
    <sheetView topLeftCell="A11" workbookViewId="0">
      <selection activeCell="L11" sqref="L11"/>
    </sheetView>
  </sheetViews>
  <sheetFormatPr defaultRowHeight="14.6" x14ac:dyDescent="0.4"/>
  <cols>
    <col min="1" max="1" width="49.3046875" customWidth="1"/>
    <col min="2" max="2" width="9.765625" hidden="1" customWidth="1"/>
    <col min="3" max="3" width="12.07421875" hidden="1" customWidth="1"/>
    <col min="4" max="4" width="15.53515625" style="118" customWidth="1"/>
    <col min="5" max="12" width="14.69140625" style="118" bestFit="1" customWidth="1"/>
    <col min="13" max="13" width="14.61328125" bestFit="1" customWidth="1"/>
    <col min="14" max="14" width="13.07421875" bestFit="1" customWidth="1"/>
    <col min="16" max="16" width="9.765625" bestFit="1" customWidth="1"/>
  </cols>
  <sheetData>
    <row r="1" spans="1:16" x14ac:dyDescent="0.4">
      <c r="A1" t="s">
        <v>0</v>
      </c>
      <c r="C1" s="96"/>
    </row>
    <row r="2" spans="1:16" x14ac:dyDescent="0.4">
      <c r="A2" s="36" t="s">
        <v>2</v>
      </c>
      <c r="C2" s="97"/>
    </row>
    <row r="3" spans="1:16" x14ac:dyDescent="0.4">
      <c r="C3" s="98"/>
      <c r="D3" s="119" t="s">
        <v>66</v>
      </c>
      <c r="E3" s="119" t="s">
        <v>65</v>
      </c>
      <c r="F3" s="119" t="s">
        <v>231</v>
      </c>
      <c r="G3" s="119" t="s">
        <v>232</v>
      </c>
      <c r="H3" s="119" t="s">
        <v>233</v>
      </c>
      <c r="I3" s="119" t="s">
        <v>67</v>
      </c>
      <c r="J3" s="119" t="s">
        <v>62</v>
      </c>
      <c r="K3" s="119" t="s">
        <v>63</v>
      </c>
      <c r="L3" s="119" t="s">
        <v>64</v>
      </c>
    </row>
    <row r="4" spans="1:16" x14ac:dyDescent="0.4">
      <c r="A4" s="7" t="s">
        <v>1</v>
      </c>
      <c r="B4" s="7"/>
      <c r="C4" s="96"/>
    </row>
    <row r="5" spans="1:16" x14ac:dyDescent="0.4">
      <c r="A5" t="s">
        <v>75</v>
      </c>
      <c r="C5" s="30"/>
      <c r="D5" s="118">
        <f>'District Budget FY22 updated'!Q7</f>
        <v>1587896</v>
      </c>
      <c r="E5" s="118">
        <f t="shared" ref="E5:L5" si="0">D5</f>
        <v>1587896</v>
      </c>
      <c r="F5" s="118">
        <f t="shared" si="0"/>
        <v>1587896</v>
      </c>
      <c r="G5" s="118">
        <f t="shared" si="0"/>
        <v>1587896</v>
      </c>
      <c r="H5" s="118">
        <f t="shared" si="0"/>
        <v>1587896</v>
      </c>
      <c r="I5" s="118">
        <f t="shared" si="0"/>
        <v>1587896</v>
      </c>
      <c r="J5" s="118">
        <f t="shared" si="0"/>
        <v>1587896</v>
      </c>
      <c r="K5" s="118">
        <f t="shared" si="0"/>
        <v>1587896</v>
      </c>
      <c r="L5" s="118">
        <f t="shared" si="0"/>
        <v>1587896</v>
      </c>
    </row>
    <row r="6" spans="1:16" x14ac:dyDescent="0.4">
      <c r="A6" t="s">
        <v>230</v>
      </c>
      <c r="C6" s="30"/>
      <c r="D6" s="118">
        <f>'District Budget FY22 updated'!Q8</f>
        <v>956579.85999999987</v>
      </c>
      <c r="E6" s="118">
        <f>D6*(1.015)</f>
        <v>970928.55789999978</v>
      </c>
      <c r="F6" s="118">
        <f>E6*(1.015)</f>
        <v>985492.48626849963</v>
      </c>
      <c r="G6" s="118">
        <f t="shared" ref="G6:L6" si="1">F6*(1.015)</f>
        <v>1000274.873562527</v>
      </c>
      <c r="H6" s="118">
        <f t="shared" si="1"/>
        <v>1015278.9966659648</v>
      </c>
      <c r="I6" s="118">
        <f t="shared" si="1"/>
        <v>1030508.1816159543</v>
      </c>
      <c r="J6" s="118">
        <f t="shared" si="1"/>
        <v>1045965.8043401935</v>
      </c>
      <c r="K6" s="118">
        <f t="shared" si="1"/>
        <v>1061655.2914052964</v>
      </c>
      <c r="L6" s="118">
        <f t="shared" si="1"/>
        <v>1077580.1207763758</v>
      </c>
    </row>
    <row r="7" spans="1:16" x14ac:dyDescent="0.4">
      <c r="A7" t="s">
        <v>56</v>
      </c>
      <c r="C7" s="30"/>
      <c r="D7" s="118">
        <v>1750000</v>
      </c>
      <c r="E7" s="118">
        <f>D7</f>
        <v>1750000</v>
      </c>
      <c r="F7" s="118">
        <f>E7</f>
        <v>1750000</v>
      </c>
      <c r="G7" s="118">
        <f>F7</f>
        <v>1750000</v>
      </c>
      <c r="H7" s="129">
        <v>2950000</v>
      </c>
      <c r="I7" s="118">
        <f>+H7+(H7*$B$10)</f>
        <v>3038500</v>
      </c>
      <c r="J7" s="118">
        <f>+I7+(I7*$B$10)</f>
        <v>3129655</v>
      </c>
      <c r="K7" s="118">
        <f>+J7+(J7*$B$10)</f>
        <v>3223544.65</v>
      </c>
      <c r="L7" s="118">
        <f>+K7+(K7*$B$10)</f>
        <v>3320250.9894999997</v>
      </c>
      <c r="M7" s="130">
        <f>SUM(D7:K7)</f>
        <v>19341699.649999999</v>
      </c>
    </row>
    <row r="8" spans="1:16" x14ac:dyDescent="0.4">
      <c r="A8" s="2" t="s">
        <v>4</v>
      </c>
      <c r="B8" s="2"/>
      <c r="C8" s="4"/>
      <c r="D8" s="120">
        <f>SUM(D5:D7)</f>
        <v>4294475.8599999994</v>
      </c>
      <c r="E8" s="120">
        <f t="shared" ref="E8:L8" si="2">SUM(E5:E7)</f>
        <v>4308824.5579000004</v>
      </c>
      <c r="F8" s="120">
        <f t="shared" si="2"/>
        <v>4323388.4862684999</v>
      </c>
      <c r="G8" s="120">
        <f t="shared" si="2"/>
        <v>4338170.8735625269</v>
      </c>
      <c r="H8" s="120">
        <f t="shared" si="2"/>
        <v>5553174.9966659648</v>
      </c>
      <c r="I8" s="120">
        <f t="shared" si="2"/>
        <v>5656904.1816159543</v>
      </c>
      <c r="J8" s="120">
        <f t="shared" si="2"/>
        <v>5763516.804340193</v>
      </c>
      <c r="K8" s="120">
        <f t="shared" si="2"/>
        <v>5873095.9414052963</v>
      </c>
      <c r="L8" s="120">
        <f t="shared" si="2"/>
        <v>5985727.110276375</v>
      </c>
      <c r="P8" s="1">
        <f>G20</f>
        <v>1108979.2535625268</v>
      </c>
    </row>
    <row r="9" spans="1:16" x14ac:dyDescent="0.4">
      <c r="A9" s="7" t="s">
        <v>3</v>
      </c>
      <c r="B9" s="7"/>
      <c r="C9" s="96"/>
      <c r="P9" s="1">
        <f>SUM(F5:F7)</f>
        <v>4323388.4862684999</v>
      </c>
    </row>
    <row r="10" spans="1:16" x14ac:dyDescent="0.4">
      <c r="A10" s="29" t="str">
        <f>'District Budget FY22 updated'!A14</f>
        <v>Improvements Fund (maintenance)</v>
      </c>
      <c r="B10" s="6">
        <v>0.03</v>
      </c>
      <c r="C10" s="30"/>
      <c r="D10" s="118">
        <v>2060000</v>
      </c>
      <c r="E10" s="118">
        <f t="shared" ref="E10:L10" si="3">+D10+(D10*$B$10)</f>
        <v>2121800</v>
      </c>
      <c r="F10" s="118">
        <f t="shared" si="3"/>
        <v>2185454</v>
      </c>
      <c r="G10" s="118">
        <f t="shared" si="3"/>
        <v>2251017.62</v>
      </c>
      <c r="H10" s="118">
        <f t="shared" si="3"/>
        <v>2318548.1486</v>
      </c>
      <c r="I10" s="118">
        <f t="shared" si="3"/>
        <v>2388104.5930579999</v>
      </c>
      <c r="J10" s="118">
        <f t="shared" si="3"/>
        <v>2459747.7308497396</v>
      </c>
      <c r="K10" s="118">
        <f t="shared" si="3"/>
        <v>2533540.162775232</v>
      </c>
      <c r="L10" s="118">
        <f t="shared" si="3"/>
        <v>2609546.3676584889</v>
      </c>
      <c r="M10" s="1">
        <f>SUM(D10:L10)</f>
        <v>20927758.62294146</v>
      </c>
    </row>
    <row r="11" spans="1:16" x14ac:dyDescent="0.4">
      <c r="A11" t="s">
        <v>111</v>
      </c>
      <c r="C11" s="30"/>
      <c r="D11" s="118">
        <v>565500</v>
      </c>
      <c r="E11" s="118">
        <v>563200</v>
      </c>
      <c r="F11" s="118">
        <v>565600</v>
      </c>
      <c r="G11" s="118">
        <v>562550</v>
      </c>
      <c r="H11" s="118">
        <v>564750</v>
      </c>
      <c r="I11" s="118">
        <v>561500</v>
      </c>
      <c r="J11" s="118">
        <v>562250</v>
      </c>
      <c r="K11" s="118">
        <v>561750</v>
      </c>
      <c r="L11" s="121">
        <v>0</v>
      </c>
      <c r="M11" s="1"/>
    </row>
    <row r="12" spans="1:16" x14ac:dyDescent="0.4">
      <c r="A12" s="34" t="s">
        <v>203</v>
      </c>
      <c r="C12" s="30"/>
      <c r="D12" s="118">
        <f>Loans!C17</f>
        <v>0</v>
      </c>
      <c r="E12" s="119">
        <v>0</v>
      </c>
      <c r="F12" s="119">
        <v>0</v>
      </c>
      <c r="G12" s="119">
        <v>0</v>
      </c>
      <c r="H12" s="119">
        <v>0</v>
      </c>
      <c r="I12" s="119">
        <v>0</v>
      </c>
      <c r="J12" s="119">
        <v>0</v>
      </c>
      <c r="K12" s="119">
        <v>0</v>
      </c>
      <c r="L12" s="121">
        <v>0</v>
      </c>
      <c r="M12" s="1"/>
    </row>
    <row r="13" spans="1:16" x14ac:dyDescent="0.4">
      <c r="A13" t="s">
        <v>204</v>
      </c>
      <c r="C13" s="30"/>
      <c r="D13" s="118">
        <v>165624</v>
      </c>
      <c r="E13" s="118">
        <v>165624</v>
      </c>
      <c r="F13" s="118">
        <v>165624</v>
      </c>
      <c r="G13" s="118">
        <v>165624</v>
      </c>
      <c r="H13" s="118">
        <v>165624</v>
      </c>
      <c r="I13" s="118">
        <v>165624</v>
      </c>
      <c r="J13" s="118">
        <v>165624</v>
      </c>
      <c r="K13" s="118">
        <v>12250</v>
      </c>
      <c r="L13" s="121">
        <v>0</v>
      </c>
      <c r="M13" s="1">
        <f>SUM(C13:K13)</f>
        <v>1171618</v>
      </c>
    </row>
    <row r="14" spans="1:16" x14ac:dyDescent="0.4">
      <c r="A14" t="s">
        <v>114</v>
      </c>
      <c r="C14" s="30"/>
      <c r="D14" s="122">
        <v>230475</v>
      </c>
      <c r="E14" s="122">
        <v>223650</v>
      </c>
      <c r="F14" s="122">
        <v>216825</v>
      </c>
      <c r="G14" s="123">
        <v>0</v>
      </c>
      <c r="H14" s="123">
        <v>0</v>
      </c>
      <c r="I14" s="123">
        <v>0</v>
      </c>
      <c r="J14" s="123">
        <v>0</v>
      </c>
      <c r="K14" s="123">
        <v>0</v>
      </c>
      <c r="L14" s="123">
        <v>0</v>
      </c>
      <c r="M14" s="1"/>
    </row>
    <row r="15" spans="1:16" x14ac:dyDescent="0.4">
      <c r="A15" s="2" t="s">
        <v>234</v>
      </c>
      <c r="C15" s="30"/>
      <c r="D15" s="122">
        <f>SUM(D11:D14)</f>
        <v>961599</v>
      </c>
      <c r="E15" s="122">
        <f t="shared" ref="E15:L15" si="4">SUM(E11:E14)</f>
        <v>952474</v>
      </c>
      <c r="F15" s="122">
        <f t="shared" si="4"/>
        <v>948049</v>
      </c>
      <c r="G15" s="122">
        <f t="shared" si="4"/>
        <v>728174</v>
      </c>
      <c r="H15" s="122">
        <f t="shared" si="4"/>
        <v>730374</v>
      </c>
      <c r="I15" s="122">
        <f t="shared" si="4"/>
        <v>727124</v>
      </c>
      <c r="J15" s="122">
        <f t="shared" si="4"/>
        <v>727874</v>
      </c>
      <c r="K15" s="122">
        <f t="shared" si="4"/>
        <v>574000</v>
      </c>
      <c r="L15" s="122">
        <f t="shared" si="4"/>
        <v>0</v>
      </c>
      <c r="M15" s="1"/>
    </row>
    <row r="16" spans="1:16" x14ac:dyDescent="0.4">
      <c r="A16" s="2" t="s">
        <v>5</v>
      </c>
      <c r="B16" s="2"/>
      <c r="C16" s="4"/>
      <c r="D16" s="120">
        <f t="shared" ref="D16:L16" si="5">SUM(D10:D14)</f>
        <v>3021599</v>
      </c>
      <c r="E16" s="120">
        <f t="shared" si="5"/>
        <v>3074274</v>
      </c>
      <c r="F16" s="120">
        <f t="shared" si="5"/>
        <v>3133503</v>
      </c>
      <c r="G16" s="120">
        <f t="shared" si="5"/>
        <v>2979191.62</v>
      </c>
      <c r="H16" s="120">
        <f t="shared" si="5"/>
        <v>3048922.1486</v>
      </c>
      <c r="I16" s="120">
        <f t="shared" si="5"/>
        <v>3115228.5930579999</v>
      </c>
      <c r="J16" s="120">
        <f t="shared" si="5"/>
        <v>3187621.7308497396</v>
      </c>
      <c r="K16" s="120">
        <f t="shared" si="5"/>
        <v>3107540.162775232</v>
      </c>
      <c r="L16" s="120">
        <f t="shared" si="5"/>
        <v>2609546.3676584889</v>
      </c>
      <c r="M16" s="1"/>
    </row>
    <row r="17" spans="1:14" ht="15" thickBot="1" x14ac:dyDescent="0.45">
      <c r="A17" s="2" t="s">
        <v>58</v>
      </c>
      <c r="B17" s="2"/>
      <c r="C17" s="38"/>
      <c r="D17" s="124">
        <f>D8-D16</f>
        <v>1272876.8599999994</v>
      </c>
      <c r="E17" s="124">
        <f t="shared" ref="E17:L17" si="6">E8-E16</f>
        <v>1234550.5579000004</v>
      </c>
      <c r="F17" s="124">
        <f t="shared" si="6"/>
        <v>1189885.4862684999</v>
      </c>
      <c r="G17" s="124">
        <f t="shared" si="6"/>
        <v>1358979.2535625268</v>
      </c>
      <c r="H17" s="124">
        <f t="shared" si="6"/>
        <v>2504252.8480659649</v>
      </c>
      <c r="I17" s="124">
        <f t="shared" si="6"/>
        <v>2541675.5885579544</v>
      </c>
      <c r="J17" s="124">
        <f t="shared" si="6"/>
        <v>2575895.0734904534</v>
      </c>
      <c r="K17" s="124">
        <f t="shared" si="6"/>
        <v>2765555.7786300643</v>
      </c>
      <c r="L17" s="124">
        <f t="shared" si="6"/>
        <v>3376180.742617886</v>
      </c>
    </row>
    <row r="18" spans="1:14" ht="15" thickTop="1" x14ac:dyDescent="0.4">
      <c r="A18" s="32" t="s">
        <v>57</v>
      </c>
      <c r="B18" s="2"/>
      <c r="C18" s="4"/>
    </row>
    <row r="19" spans="1:14" x14ac:dyDescent="0.4">
      <c r="A19" s="33" t="s">
        <v>205</v>
      </c>
      <c r="B19" s="2"/>
      <c r="C19" s="4"/>
      <c r="D19" s="118">
        <f>250000</f>
        <v>250000</v>
      </c>
      <c r="E19" s="118">
        <v>250000</v>
      </c>
      <c r="F19" s="118">
        <v>250000</v>
      </c>
      <c r="G19" s="118">
        <v>250000</v>
      </c>
      <c r="H19" s="118">
        <v>250000</v>
      </c>
      <c r="I19" s="118">
        <v>250000</v>
      </c>
      <c r="J19" s="118">
        <v>250000</v>
      </c>
      <c r="K19" s="118">
        <v>250000</v>
      </c>
      <c r="L19" s="118">
        <v>250000</v>
      </c>
      <c r="N19" s="130"/>
    </row>
    <row r="20" spans="1:14" x14ac:dyDescent="0.4">
      <c r="A20" s="33" t="s">
        <v>59</v>
      </c>
      <c r="B20" s="2"/>
      <c r="C20" s="4"/>
      <c r="D20" s="90">
        <f>D17-D19</f>
        <v>1022876.8599999994</v>
      </c>
      <c r="E20" s="90">
        <f t="shared" ref="E20:L20" si="7">E17-E19</f>
        <v>984550.55790000036</v>
      </c>
      <c r="F20" s="90">
        <f t="shared" si="7"/>
        <v>939885.48626849987</v>
      </c>
      <c r="G20" s="90">
        <f t="shared" si="7"/>
        <v>1108979.2535625268</v>
      </c>
      <c r="H20" s="90">
        <f t="shared" si="7"/>
        <v>2254252.8480659649</v>
      </c>
      <c r="I20" s="90">
        <f t="shared" si="7"/>
        <v>2291675.5885579544</v>
      </c>
      <c r="J20" s="90">
        <f t="shared" si="7"/>
        <v>2325895.0734904534</v>
      </c>
      <c r="K20" s="90">
        <f t="shared" si="7"/>
        <v>2515555.7786300643</v>
      </c>
      <c r="L20" s="90">
        <f t="shared" si="7"/>
        <v>3126180.742617886</v>
      </c>
      <c r="N20" s="130"/>
    </row>
    <row r="22" spans="1:14" x14ac:dyDescent="0.4">
      <c r="A22" s="33"/>
      <c r="B22" s="2"/>
      <c r="C22" s="4"/>
      <c r="D22" s="90"/>
      <c r="N22" s="130"/>
    </row>
    <row r="23" spans="1:14" x14ac:dyDescent="0.4">
      <c r="A23" t="s">
        <v>68</v>
      </c>
      <c r="B23" s="1">
        <f>'District Budget FY22 updated'!G31</f>
        <v>3469775</v>
      </c>
      <c r="C23" s="30"/>
      <c r="D23" s="118">
        <f>B23*0.0044</f>
        <v>15267.01</v>
      </c>
      <c r="E23" s="118">
        <f t="shared" ref="E23:L23" si="8">D23</f>
        <v>15267.01</v>
      </c>
      <c r="F23" s="118">
        <f t="shared" si="8"/>
        <v>15267.01</v>
      </c>
      <c r="G23" s="118">
        <f t="shared" si="8"/>
        <v>15267.01</v>
      </c>
      <c r="H23" s="118">
        <f t="shared" si="8"/>
        <v>15267.01</v>
      </c>
      <c r="I23" s="118">
        <f t="shared" si="8"/>
        <v>15267.01</v>
      </c>
      <c r="J23" s="118">
        <f t="shared" si="8"/>
        <v>15267.01</v>
      </c>
      <c r="K23" s="118">
        <f t="shared" si="8"/>
        <v>15267.01</v>
      </c>
      <c r="L23" s="118">
        <f t="shared" si="8"/>
        <v>15267.01</v>
      </c>
    </row>
    <row r="24" spans="1:14" x14ac:dyDescent="0.4">
      <c r="A24" s="33" t="s">
        <v>69</v>
      </c>
      <c r="B24" s="2"/>
      <c r="C24" s="4"/>
      <c r="D24" s="118">
        <f t="shared" ref="D24:L24" si="9">250000+D23</f>
        <v>265267.01</v>
      </c>
      <c r="E24" s="118">
        <f t="shared" si="9"/>
        <v>265267.01</v>
      </c>
      <c r="F24" s="118">
        <f t="shared" si="9"/>
        <v>265267.01</v>
      </c>
      <c r="G24" s="118">
        <f t="shared" si="9"/>
        <v>265267.01</v>
      </c>
      <c r="H24" s="118">
        <f t="shared" si="9"/>
        <v>265267.01</v>
      </c>
      <c r="I24" s="118">
        <f t="shared" si="9"/>
        <v>265267.01</v>
      </c>
      <c r="J24" s="118">
        <f t="shared" si="9"/>
        <v>265267.01</v>
      </c>
      <c r="K24" s="118">
        <f t="shared" si="9"/>
        <v>265267.01</v>
      </c>
      <c r="L24" s="118">
        <f t="shared" si="9"/>
        <v>265267.01</v>
      </c>
    </row>
    <row r="25" spans="1:14" ht="15" thickBot="1" x14ac:dyDescent="0.45">
      <c r="A25" s="32"/>
      <c r="B25" s="2"/>
      <c r="C25" s="4"/>
    </row>
    <row r="26" spans="1:14" ht="15" thickBot="1" x14ac:dyDescent="0.45">
      <c r="A26" s="156" t="s">
        <v>60</v>
      </c>
      <c r="B26" s="31"/>
      <c r="C26" s="99">
        <v>0</v>
      </c>
      <c r="D26" s="157"/>
      <c r="E26" s="158"/>
      <c r="F26" s="158"/>
      <c r="G26" s="158"/>
      <c r="H26" s="158"/>
      <c r="I26" s="158"/>
      <c r="J26" s="158"/>
      <c r="K26" s="158"/>
      <c r="L26" s="159"/>
    </row>
    <row r="27" spans="1:14" x14ac:dyDescent="0.4">
      <c r="A27" s="5"/>
      <c r="B27" s="5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14" x14ac:dyDescent="0.4">
      <c r="A28" s="33" t="s">
        <v>289</v>
      </c>
      <c r="B28" s="2"/>
      <c r="C28" s="4">
        <v>0</v>
      </c>
      <c r="D28" s="90">
        <f>'District Budget FY22 updated'!F27</f>
        <v>1533086.96</v>
      </c>
      <c r="E28" s="90">
        <f t="shared" ref="E28:L28" si="10">E20+D28</f>
        <v>2517637.5179000003</v>
      </c>
      <c r="F28" s="90">
        <f t="shared" si="10"/>
        <v>3457523.0041685002</v>
      </c>
      <c r="G28" s="90">
        <f t="shared" si="10"/>
        <v>4566502.257731027</v>
      </c>
      <c r="H28" s="90">
        <f t="shared" si="10"/>
        <v>6820755.1057969918</v>
      </c>
      <c r="I28" s="90">
        <f t="shared" si="10"/>
        <v>9112430.6943549458</v>
      </c>
      <c r="J28" s="90">
        <f t="shared" si="10"/>
        <v>11438325.7678454</v>
      </c>
      <c r="K28" s="90">
        <f t="shared" si="10"/>
        <v>13953881.546475464</v>
      </c>
      <c r="L28" s="90">
        <f t="shared" si="10"/>
        <v>17080062.289093349</v>
      </c>
      <c r="N28" s="130"/>
    </row>
    <row r="29" spans="1:14" s="39" customFormat="1" x14ac:dyDescent="0.4">
      <c r="A29" s="37" t="s">
        <v>116</v>
      </c>
      <c r="B29" s="37"/>
      <c r="C29" s="38"/>
      <c r="D29" s="125">
        <f>'District Budget FY22 updated'!G31</f>
        <v>3469775</v>
      </c>
      <c r="E29" s="125"/>
      <c r="F29" s="125"/>
      <c r="G29" s="125"/>
      <c r="H29" s="125"/>
      <c r="I29" s="125"/>
      <c r="J29" s="125"/>
      <c r="K29" s="125"/>
      <c r="L29" s="125"/>
      <c r="M29" s="100"/>
      <c r="N29" s="100"/>
    </row>
    <row r="30" spans="1:14" s="39" customFormat="1" x14ac:dyDescent="0.4">
      <c r="A30" s="37" t="s">
        <v>239</v>
      </c>
      <c r="B30" s="37"/>
      <c r="C30" s="38"/>
      <c r="D30" s="125">
        <f>SUM('Cash Assets'!B5:B7)</f>
        <v>7138338.3700000001</v>
      </c>
      <c r="E30" s="125"/>
      <c r="F30" s="125"/>
      <c r="G30" s="125"/>
      <c r="H30" s="125"/>
      <c r="I30" s="125"/>
      <c r="J30" s="125">
        <f>35000000*25</f>
        <v>875000000</v>
      </c>
      <c r="K30" s="125"/>
      <c r="L30" s="125"/>
      <c r="M30" s="100"/>
      <c r="N30" s="100"/>
    </row>
    <row r="31" spans="1:14" s="39" customFormat="1" x14ac:dyDescent="0.4">
      <c r="A31" s="37" t="s">
        <v>242</v>
      </c>
      <c r="B31" s="37"/>
      <c r="C31" s="38"/>
      <c r="D31" s="125">
        <f>'Cash Assets'!B22</f>
        <v>2060000</v>
      </c>
      <c r="E31" s="125"/>
      <c r="F31" s="125"/>
      <c r="G31" s="125"/>
      <c r="H31" s="125"/>
      <c r="I31" s="125"/>
      <c r="J31" s="125"/>
      <c r="K31" s="125"/>
      <c r="L31" s="125"/>
      <c r="M31" s="100"/>
      <c r="N31" s="100"/>
    </row>
    <row r="32" spans="1:14" s="39" customFormat="1" x14ac:dyDescent="0.4">
      <c r="A32" s="37" t="s">
        <v>240</v>
      </c>
      <c r="B32" s="37"/>
      <c r="C32" s="38"/>
      <c r="D32" s="125">
        <f>SUM('Cash Assets'!B11:B12)</f>
        <v>1600000</v>
      </c>
      <c r="E32" s="125"/>
      <c r="F32" s="125"/>
      <c r="G32" s="125"/>
      <c r="H32" s="125"/>
      <c r="I32" s="125"/>
      <c r="J32" s="125"/>
      <c r="K32" s="125"/>
      <c r="L32" s="125"/>
      <c r="M32" s="100"/>
      <c r="N32" s="100"/>
    </row>
    <row r="33" spans="1:14" s="39" customFormat="1" x14ac:dyDescent="0.4">
      <c r="A33" s="37" t="s">
        <v>241</v>
      </c>
      <c r="B33" s="37"/>
      <c r="C33" s="38"/>
      <c r="D33" s="125">
        <f>-'Cash Assets'!B41</f>
        <v>-5631192.0800000001</v>
      </c>
      <c r="E33" s="125"/>
      <c r="F33" s="125"/>
      <c r="G33" s="125"/>
      <c r="H33" s="125"/>
      <c r="I33" s="125"/>
      <c r="J33" s="125"/>
      <c r="K33" s="125"/>
      <c r="L33" s="125"/>
      <c r="M33" s="100"/>
      <c r="N33" s="100"/>
    </row>
    <row r="34" spans="1:14" s="39" customFormat="1" x14ac:dyDescent="0.4">
      <c r="A34" s="37" t="s">
        <v>168</v>
      </c>
      <c r="B34" s="37"/>
      <c r="C34" s="38"/>
      <c r="D34" s="126">
        <f>SUM(D29:D32)+D33</f>
        <v>8636921.290000001</v>
      </c>
      <c r="E34" s="126">
        <f t="shared" ref="E34:L34" si="11">D34+E20</f>
        <v>9621471.8479000013</v>
      </c>
      <c r="F34" s="126">
        <f t="shared" si="11"/>
        <v>10561357.334168501</v>
      </c>
      <c r="G34" s="126">
        <f t="shared" si="11"/>
        <v>11670336.587731028</v>
      </c>
      <c r="H34" s="126">
        <f t="shared" si="11"/>
        <v>13924589.435796993</v>
      </c>
      <c r="I34" s="126">
        <f t="shared" si="11"/>
        <v>16216265.024354948</v>
      </c>
      <c r="J34" s="126">
        <f t="shared" si="11"/>
        <v>18542160.097845402</v>
      </c>
      <c r="K34" s="126">
        <f t="shared" si="11"/>
        <v>21057715.876475465</v>
      </c>
      <c r="L34" s="126">
        <f t="shared" si="11"/>
        <v>24183896.619093351</v>
      </c>
      <c r="M34" s="100"/>
    </row>
    <row r="35" spans="1:14" s="39" customFormat="1" x14ac:dyDescent="0.4">
      <c r="A35" s="37"/>
      <c r="B35" s="37"/>
      <c r="C35" s="38"/>
      <c r="D35" s="126"/>
      <c r="E35" s="126"/>
      <c r="F35" s="126"/>
      <c r="G35" s="126"/>
      <c r="H35" s="126"/>
      <c r="I35" s="126"/>
      <c r="J35" s="126"/>
      <c r="K35" s="126"/>
      <c r="L35" s="148">
        <f>13/35</f>
        <v>0.37142857142857144</v>
      </c>
    </row>
    <row r="36" spans="1:14" s="103" customFormat="1" x14ac:dyDescent="0.4">
      <c r="A36" s="101"/>
      <c r="B36" s="101"/>
      <c r="C36" s="102"/>
      <c r="D36" s="127"/>
      <c r="E36" s="127"/>
      <c r="F36" s="127"/>
      <c r="G36" s="127"/>
      <c r="H36" s="127"/>
      <c r="I36" s="127"/>
      <c r="J36" s="127"/>
      <c r="K36" s="127"/>
      <c r="L36" s="127"/>
    </row>
    <row r="37" spans="1:14" s="39" customFormat="1" x14ac:dyDescent="0.4">
      <c r="A37" s="101" t="s">
        <v>235</v>
      </c>
      <c r="B37" s="37"/>
      <c r="C37" s="38"/>
      <c r="D37" s="126"/>
      <c r="E37" s="126"/>
      <c r="F37" s="126"/>
      <c r="G37" s="126"/>
      <c r="H37" s="126"/>
      <c r="I37" s="126"/>
      <c r="J37" s="126"/>
      <c r="K37" s="126"/>
      <c r="L37" s="126"/>
    </row>
    <row r="38" spans="1:14" s="39" customFormat="1" x14ac:dyDescent="0.4">
      <c r="A38" s="101"/>
      <c r="B38" s="37"/>
      <c r="C38" s="38"/>
      <c r="D38" s="126"/>
      <c r="E38" s="126"/>
      <c r="F38" s="126"/>
      <c r="G38" s="126"/>
      <c r="H38" s="126"/>
      <c r="I38" s="126"/>
      <c r="J38" s="126"/>
      <c r="K38" s="126"/>
      <c r="L38" s="126"/>
    </row>
    <row r="39" spans="1:14" s="39" customFormat="1" x14ac:dyDescent="0.4">
      <c r="A39" s="101"/>
      <c r="B39" s="37"/>
      <c r="C39" s="38"/>
      <c r="D39" s="126"/>
      <c r="E39" s="126"/>
      <c r="F39" s="126"/>
      <c r="G39" s="126"/>
      <c r="H39" s="126"/>
      <c r="I39" s="126"/>
      <c r="J39" s="126"/>
      <c r="K39" s="126"/>
      <c r="L39" s="126"/>
    </row>
    <row r="40" spans="1:14" s="39" customFormat="1" x14ac:dyDescent="0.4">
      <c r="A40" s="101" t="s">
        <v>236</v>
      </c>
      <c r="B40" s="37"/>
      <c r="C40" s="38"/>
      <c r="D40" s="136">
        <v>0.05</v>
      </c>
      <c r="E40" s="136">
        <v>0.1</v>
      </c>
      <c r="F40" s="136">
        <v>0.5</v>
      </c>
      <c r="G40" s="136">
        <v>2</v>
      </c>
      <c r="H40" s="136">
        <v>3</v>
      </c>
      <c r="I40" s="136">
        <v>4</v>
      </c>
      <c r="J40" s="136">
        <v>6</v>
      </c>
      <c r="K40" s="136">
        <v>8</v>
      </c>
      <c r="L40" s="136">
        <f>K40+1</f>
        <v>9</v>
      </c>
    </row>
    <row r="41" spans="1:14" s="39" customFormat="1" x14ac:dyDescent="0.4">
      <c r="A41" s="101" t="s">
        <v>237</v>
      </c>
      <c r="B41" s="37">
        <v>35000000</v>
      </c>
      <c r="C41" s="38"/>
      <c r="D41" s="135">
        <f>0.005</f>
        <v>5.0000000000000001E-3</v>
      </c>
      <c r="E41" s="135">
        <f t="shared" ref="E41:K41" si="12">1/(1+EXP(4.5-E40))</f>
        <v>1.2128434984274237E-2</v>
      </c>
      <c r="F41" s="135">
        <v>2.5000000000000001E-2</v>
      </c>
      <c r="G41" s="135">
        <f t="shared" si="12"/>
        <v>7.5858180021243546E-2</v>
      </c>
      <c r="H41" s="135">
        <f t="shared" si="12"/>
        <v>0.18242552380635635</v>
      </c>
      <c r="I41" s="135">
        <f t="shared" si="12"/>
        <v>0.37754066879814541</v>
      </c>
      <c r="J41" s="135">
        <f t="shared" si="12"/>
        <v>0.81757447619364365</v>
      </c>
      <c r="K41" s="135">
        <f t="shared" si="12"/>
        <v>0.97068776924864364</v>
      </c>
      <c r="L41" s="135">
        <v>1</v>
      </c>
    </row>
    <row r="42" spans="1:14" s="39" customFormat="1" x14ac:dyDescent="0.4">
      <c r="A42" s="101" t="s">
        <v>238</v>
      </c>
      <c r="B42" s="37"/>
      <c r="C42" s="38"/>
      <c r="D42" s="126">
        <f>D41*$B$41</f>
        <v>175000</v>
      </c>
      <c r="E42" s="126">
        <f t="shared" ref="E42:L42" si="13">E41*$B$41</f>
        <v>424495.22444959829</v>
      </c>
      <c r="F42" s="126">
        <f t="shared" si="13"/>
        <v>875000</v>
      </c>
      <c r="G42" s="126">
        <f t="shared" si="13"/>
        <v>2655036.300743524</v>
      </c>
      <c r="H42" s="126">
        <f t="shared" si="13"/>
        <v>6384893.3332224721</v>
      </c>
      <c r="I42" s="126">
        <f t="shared" si="13"/>
        <v>13213923.407935089</v>
      </c>
      <c r="J42" s="126">
        <f t="shared" si="13"/>
        <v>28615106.666777529</v>
      </c>
      <c r="K42" s="126">
        <f t="shared" si="13"/>
        <v>33974071.923702531</v>
      </c>
      <c r="L42" s="126">
        <f t="shared" si="13"/>
        <v>35000000</v>
      </c>
    </row>
    <row r="43" spans="1:14" s="39" customFormat="1" x14ac:dyDescent="0.4">
      <c r="A43" s="101" t="s">
        <v>277</v>
      </c>
      <c r="B43" s="37"/>
      <c r="C43" s="38"/>
      <c r="D43" s="126">
        <f>D42</f>
        <v>175000</v>
      </c>
      <c r="E43" s="126">
        <f>E42-D42</f>
        <v>249495.22444959829</v>
      </c>
      <c r="F43" s="126">
        <f t="shared" ref="F43:L43" si="14">F42-E42</f>
        <v>450504.77555040171</v>
      </c>
      <c r="G43" s="126">
        <f t="shared" si="14"/>
        <v>1780036.300743524</v>
      </c>
      <c r="H43" s="126">
        <f t="shared" si="14"/>
        <v>3729857.0324789481</v>
      </c>
      <c r="I43" s="126">
        <f t="shared" si="14"/>
        <v>6829030.0747126164</v>
      </c>
      <c r="J43" s="126">
        <f t="shared" si="14"/>
        <v>15401183.25884244</v>
      </c>
      <c r="K43" s="126">
        <f t="shared" si="14"/>
        <v>5358965.2569250017</v>
      </c>
      <c r="L43" s="126">
        <f t="shared" si="14"/>
        <v>1025928.0762974694</v>
      </c>
      <c r="M43" s="149">
        <f>E51</f>
        <v>35000000</v>
      </c>
    </row>
    <row r="44" spans="1:14" s="39" customFormat="1" x14ac:dyDescent="0.4">
      <c r="A44" s="101" t="s">
        <v>245</v>
      </c>
      <c r="B44" s="37"/>
      <c r="C44" s="38"/>
      <c r="D44" s="126">
        <f>D34-D43</f>
        <v>8461921.290000001</v>
      </c>
      <c r="E44" s="126">
        <f t="shared" ref="E44:L44" si="15">D44-E43+E20</f>
        <v>9196976.6234504022</v>
      </c>
      <c r="F44" s="126">
        <f t="shared" si="15"/>
        <v>9686357.3341685012</v>
      </c>
      <c r="G44" s="126">
        <f t="shared" si="15"/>
        <v>9015300.286987504</v>
      </c>
      <c r="H44" s="126">
        <f t="shared" si="15"/>
        <v>7539696.1025745207</v>
      </c>
      <c r="I44" s="126">
        <f t="shared" si="15"/>
        <v>3002341.6164198588</v>
      </c>
      <c r="J44" s="126">
        <f t="shared" si="15"/>
        <v>-10072946.568932127</v>
      </c>
      <c r="K44" s="126">
        <f t="shared" si="15"/>
        <v>-12916356.047227064</v>
      </c>
      <c r="L44" s="126">
        <f t="shared" si="15"/>
        <v>-10816103.380906647</v>
      </c>
    </row>
    <row r="45" spans="1:14" s="39" customFormat="1" x14ac:dyDescent="0.4">
      <c r="A45" s="101" t="s">
        <v>238</v>
      </c>
      <c r="B45" s="37"/>
      <c r="C45" s="38"/>
      <c r="D45" s="126">
        <f>D41*M45</f>
        <v>437500</v>
      </c>
      <c r="E45" s="126">
        <f>E41*$M$45</f>
        <v>1061238.0611239958</v>
      </c>
      <c r="F45" s="126">
        <f t="shared" ref="F45:L45" si="16">F41*$M$45</f>
        <v>2187500</v>
      </c>
      <c r="G45" s="126">
        <f t="shared" si="16"/>
        <v>6637590.75185881</v>
      </c>
      <c r="H45" s="126">
        <f t="shared" si="16"/>
        <v>15962233.33305618</v>
      </c>
      <c r="I45" s="126">
        <f t="shared" si="16"/>
        <v>33034808.519837722</v>
      </c>
      <c r="J45" s="126">
        <f t="shared" si="16"/>
        <v>71537766.666943818</v>
      </c>
      <c r="K45" s="126">
        <f t="shared" si="16"/>
        <v>84935179.809256315</v>
      </c>
      <c r="L45" s="126">
        <f t="shared" si="16"/>
        <v>87500000</v>
      </c>
      <c r="M45" s="172">
        <f>G51</f>
        <v>87500000</v>
      </c>
    </row>
    <row r="46" spans="1:14" s="39" customFormat="1" x14ac:dyDescent="0.4">
      <c r="A46" s="101" t="s">
        <v>276</v>
      </c>
      <c r="B46" s="37"/>
      <c r="C46" s="38"/>
      <c r="D46" s="126">
        <f>D41*M45</f>
        <v>437500</v>
      </c>
      <c r="E46" s="126">
        <f>E45-D45</f>
        <v>623738.06112399581</v>
      </c>
      <c r="F46" s="126">
        <f t="shared" ref="F46:L46" si="17">F45-E45</f>
        <v>1126261.9388760042</v>
      </c>
      <c r="G46" s="126">
        <f t="shared" si="17"/>
        <v>4450090.75185881</v>
      </c>
      <c r="H46" s="126">
        <f t="shared" si="17"/>
        <v>9324642.5811973698</v>
      </c>
      <c r="I46" s="126">
        <f t="shared" si="17"/>
        <v>17072575.186781541</v>
      </c>
      <c r="J46" s="126">
        <f t="shared" si="17"/>
        <v>38502958.147106096</v>
      </c>
      <c r="K46" s="126">
        <f t="shared" si="17"/>
        <v>13397413.142312497</v>
      </c>
      <c r="L46" s="126">
        <f t="shared" si="17"/>
        <v>2564820.1907436848</v>
      </c>
      <c r="M46" s="172"/>
      <c r="N46" s="149"/>
    </row>
    <row r="47" spans="1:14" s="39" customFormat="1" x14ac:dyDescent="0.4">
      <c r="A47" s="101" t="s">
        <v>245</v>
      </c>
      <c r="B47" s="37"/>
      <c r="C47" s="38"/>
      <c r="D47" s="126">
        <f>D34-D46</f>
        <v>8199421.290000001</v>
      </c>
      <c r="E47" s="126">
        <f>D47-E46+E20</f>
        <v>8560233.7867760062</v>
      </c>
      <c r="F47" s="126">
        <f t="shared" ref="F47:L47" si="18">E47-F46+F20</f>
        <v>8373857.3341685021</v>
      </c>
      <c r="G47" s="126">
        <f t="shared" si="18"/>
        <v>5032745.8358722189</v>
      </c>
      <c r="H47" s="126">
        <f t="shared" si="18"/>
        <v>-2037643.897259186</v>
      </c>
      <c r="I47" s="126">
        <f t="shared" si="18"/>
        <v>-16818543.495482773</v>
      </c>
      <c r="J47" s="126">
        <f t="shared" si="18"/>
        <v>-52995606.569098413</v>
      </c>
      <c r="K47" s="126">
        <f t="shared" si="18"/>
        <v>-63877463.932780847</v>
      </c>
      <c r="L47" s="126">
        <f t="shared" si="18"/>
        <v>-63316103.380906649</v>
      </c>
    </row>
    <row r="48" spans="1:14" s="39" customFormat="1" x14ac:dyDescent="0.4">
      <c r="A48" s="101"/>
      <c r="B48" s="37"/>
      <c r="C48" s="38"/>
      <c r="D48" s="126"/>
      <c r="E48" s="126"/>
      <c r="F48" s="126"/>
      <c r="G48" s="126"/>
      <c r="H48" s="126"/>
      <c r="I48" s="126"/>
      <c r="J48" s="126"/>
      <c r="K48" s="126" t="s">
        <v>246</v>
      </c>
      <c r="L48" s="126">
        <f>PMT(0.03,10,L44)</f>
        <v>1267977.2788374657</v>
      </c>
    </row>
    <row r="49" spans="1:13" s="39" customFormat="1" ht="15" thickBot="1" x14ac:dyDescent="0.45">
      <c r="A49" s="101"/>
      <c r="B49" s="37"/>
      <c r="C49" s="38"/>
      <c r="D49" s="170"/>
      <c r="E49" s="170"/>
      <c r="F49" s="170"/>
      <c r="G49" s="170"/>
      <c r="H49" s="126"/>
      <c r="I49" s="126"/>
      <c r="J49" s="126"/>
      <c r="K49" s="126" t="s">
        <v>247</v>
      </c>
      <c r="L49" s="126">
        <v>1000000</v>
      </c>
    </row>
    <row r="50" spans="1:13" s="39" customFormat="1" ht="15" thickBot="1" x14ac:dyDescent="0.45">
      <c r="A50" s="101" t="s">
        <v>287</v>
      </c>
      <c r="B50" s="37"/>
      <c r="C50" s="38"/>
      <c r="D50" s="161" t="s">
        <v>270</v>
      </c>
      <c r="E50" s="168" t="s">
        <v>267</v>
      </c>
      <c r="F50" s="168" t="s">
        <v>269</v>
      </c>
      <c r="G50" s="168" t="s">
        <v>268</v>
      </c>
      <c r="H50" s="168" t="s">
        <v>268</v>
      </c>
      <c r="I50" s="128"/>
      <c r="J50" s="128"/>
      <c r="K50" s="128"/>
      <c r="L50" s="128" t="s">
        <v>214</v>
      </c>
      <c r="M50" s="128">
        <v>2000000</v>
      </c>
    </row>
    <row r="51" spans="1:13" s="34" customFormat="1" x14ac:dyDescent="0.4">
      <c r="A51" s="33">
        <v>3500000</v>
      </c>
      <c r="B51" s="33"/>
      <c r="C51" s="104"/>
      <c r="D51" s="176" t="s">
        <v>274</v>
      </c>
      <c r="E51" s="167">
        <f>A51*10</f>
        <v>35000000</v>
      </c>
      <c r="F51" s="167">
        <v>45000000</v>
      </c>
      <c r="G51" s="167">
        <f>A51*25</f>
        <v>87500000</v>
      </c>
      <c r="H51" s="167">
        <f>A51*25</f>
        <v>87500000</v>
      </c>
      <c r="I51" s="118"/>
      <c r="J51" s="118"/>
      <c r="K51" s="118"/>
      <c r="L51" s="118">
        <f>M50+L49-L48</f>
        <v>1732022.7211625343</v>
      </c>
    </row>
    <row r="52" spans="1:13" x14ac:dyDescent="0.4">
      <c r="A52" s="40"/>
      <c r="B52" s="3"/>
      <c r="D52" s="162" t="s">
        <v>271</v>
      </c>
      <c r="E52" s="165">
        <f>E51-L34</f>
        <v>10816103.380906649</v>
      </c>
      <c r="F52" s="165">
        <f>F51-$L$34</f>
        <v>20816103.380906649</v>
      </c>
      <c r="G52" s="165">
        <f>G51-$L$34</f>
        <v>63316103.380906649</v>
      </c>
      <c r="H52" s="165">
        <f>H51-$L$34</f>
        <v>63316103.380906649</v>
      </c>
    </row>
    <row r="53" spans="1:13" x14ac:dyDescent="0.4">
      <c r="A53" s="41"/>
      <c r="D53" s="162" t="s">
        <v>181</v>
      </c>
      <c r="E53" s="165">
        <v>10</v>
      </c>
      <c r="F53" s="165">
        <v>10</v>
      </c>
      <c r="G53" s="165">
        <v>10</v>
      </c>
      <c r="H53" s="165">
        <v>15</v>
      </c>
    </row>
    <row r="54" spans="1:13" x14ac:dyDescent="0.4">
      <c r="A54" s="41"/>
      <c r="D54" s="164" t="s">
        <v>272</v>
      </c>
      <c r="E54" s="165">
        <f>PMT(0.03,E53,E52)</f>
        <v>-1267977.2788374659</v>
      </c>
      <c r="F54" s="165">
        <f>PMT(0.03,F53,F52)</f>
        <v>-2440282.344889062</v>
      </c>
      <c r="G54" s="165">
        <f>PMT(0.03,G53,G52)</f>
        <v>-7422578.8756083436</v>
      </c>
      <c r="H54" s="165">
        <f>PMT(0.03,H53,H52)</f>
        <v>-5303773.468415264</v>
      </c>
    </row>
    <row r="55" spans="1:13" x14ac:dyDescent="0.4">
      <c r="A55" s="41"/>
      <c r="D55" s="164" t="s">
        <v>273</v>
      </c>
      <c r="E55" s="165">
        <v>1000000</v>
      </c>
      <c r="F55" s="165">
        <v>1000000</v>
      </c>
      <c r="G55" s="165">
        <v>1000000</v>
      </c>
      <c r="H55" s="165">
        <v>1000000</v>
      </c>
    </row>
    <row r="56" spans="1:13" x14ac:dyDescent="0.4">
      <c r="A56" s="41"/>
      <c r="D56" s="164" t="s">
        <v>214</v>
      </c>
      <c r="E56" s="165">
        <v>2000000</v>
      </c>
      <c r="F56" s="165">
        <v>2000000</v>
      </c>
      <c r="G56" s="165">
        <v>3000000</v>
      </c>
      <c r="H56" s="165">
        <v>3000000</v>
      </c>
    </row>
    <row r="57" spans="1:13" ht="15" thickBot="1" x14ac:dyDescent="0.45">
      <c r="D57" s="164" t="s">
        <v>75</v>
      </c>
      <c r="E57" s="165">
        <v>0</v>
      </c>
      <c r="F57" s="166">
        <v>0</v>
      </c>
      <c r="G57" s="165">
        <v>1600000</v>
      </c>
      <c r="H57" s="165">
        <v>1600000</v>
      </c>
    </row>
    <row r="58" spans="1:13" ht="15" thickBot="1" x14ac:dyDescent="0.45">
      <c r="D58" s="163" t="s">
        <v>164</v>
      </c>
      <c r="E58" s="168">
        <f>SUM(E54:E56)</f>
        <v>1732022.7211625341</v>
      </c>
      <c r="F58" s="169">
        <f>SUM(F54:F56)</f>
        <v>559717.65511093801</v>
      </c>
      <c r="G58" s="168">
        <f>SUM(G54:G57)</f>
        <v>-1822578.8756083436</v>
      </c>
      <c r="H58" s="168">
        <f>SUM(H54:H57)</f>
        <v>296226.53158473596</v>
      </c>
    </row>
    <row r="59" spans="1:13" x14ac:dyDescent="0.4">
      <c r="D59" s="163"/>
      <c r="E59" s="163"/>
      <c r="F59" s="163"/>
      <c r="G59" s="163"/>
    </row>
  </sheetData>
  <pageMargins left="0.7" right="0" top="0.75" bottom="0.75" header="0.3" footer="0.3"/>
  <pageSetup scale="90" fitToHeight="0" orientation="landscape" r:id="rId1"/>
  <colBreaks count="1" manualBreakCount="1">
    <brk id="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3"/>
  <sheetViews>
    <sheetView topLeftCell="A6" workbookViewId="0">
      <selection activeCell="P17" sqref="P17"/>
    </sheetView>
  </sheetViews>
  <sheetFormatPr defaultRowHeight="14.6" x14ac:dyDescent="0.4"/>
  <cols>
    <col min="1" max="1" width="34.23046875" bestFit="1" customWidth="1"/>
    <col min="2" max="2" width="13.69140625" hidden="1" customWidth="1"/>
    <col min="3" max="3" width="12.07421875" hidden="1" customWidth="1"/>
    <col min="4" max="4" width="12.07421875" customWidth="1"/>
    <col min="5" max="5" width="12.07421875" bestFit="1" customWidth="1"/>
    <col min="6" max="6" width="14.69140625" bestFit="1" customWidth="1"/>
    <col min="7" max="9" width="11.3046875" bestFit="1" customWidth="1"/>
    <col min="10" max="10" width="11.84375" bestFit="1" customWidth="1"/>
    <col min="11" max="12" width="11" bestFit="1" customWidth="1"/>
    <col min="13" max="13" width="11.3046875" bestFit="1" customWidth="1"/>
    <col min="14" max="19" width="11" bestFit="1" customWidth="1"/>
    <col min="20" max="20" width="11.84375" bestFit="1" customWidth="1"/>
    <col min="21" max="46" width="9.07421875" customWidth="1"/>
  </cols>
  <sheetData>
    <row r="1" spans="1:20" s="52" customFormat="1" x14ac:dyDescent="0.4"/>
    <row r="2" spans="1:20" ht="15" thickBot="1" x14ac:dyDescent="0.45">
      <c r="A2" s="52"/>
      <c r="B2" s="52"/>
      <c r="C2" s="52"/>
      <c r="D2" s="53" t="s">
        <v>93</v>
      </c>
      <c r="E2" s="53"/>
      <c r="F2" s="53"/>
      <c r="G2" s="53" t="s">
        <v>93</v>
      </c>
      <c r="H2" s="53"/>
      <c r="I2" s="53"/>
      <c r="J2" s="53"/>
      <c r="K2" s="53"/>
      <c r="L2" s="53"/>
      <c r="M2" s="53" t="s">
        <v>92</v>
      </c>
      <c r="N2" s="52"/>
      <c r="O2" s="52"/>
      <c r="P2" s="52"/>
      <c r="Q2" s="52"/>
      <c r="R2" s="52"/>
      <c r="S2" s="52"/>
    </row>
    <row r="3" spans="1:20" ht="15" thickBot="1" x14ac:dyDescent="0.45">
      <c r="A3" s="52"/>
      <c r="B3" s="52" t="s">
        <v>85</v>
      </c>
      <c r="C3" s="52"/>
      <c r="D3" s="54" t="s">
        <v>143</v>
      </c>
      <c r="E3" s="55"/>
      <c r="F3" s="56"/>
      <c r="G3" s="57" t="s">
        <v>142</v>
      </c>
      <c r="H3" s="58"/>
      <c r="I3" s="58"/>
      <c r="J3" s="58"/>
      <c r="K3" s="58"/>
      <c r="L3" s="58"/>
      <c r="M3" s="58"/>
      <c r="N3" s="58"/>
      <c r="O3" s="58"/>
      <c r="P3" s="58"/>
      <c r="Q3" s="58"/>
      <c r="R3" s="59"/>
      <c r="S3" s="53" t="s">
        <v>88</v>
      </c>
    </row>
    <row r="4" spans="1:20" ht="15" thickBot="1" x14ac:dyDescent="0.45">
      <c r="A4" s="52" t="s">
        <v>70</v>
      </c>
      <c r="B4" s="52"/>
      <c r="C4" s="52"/>
      <c r="D4" s="60" t="s">
        <v>87</v>
      </c>
      <c r="E4" s="61" t="s">
        <v>71</v>
      </c>
      <c r="F4" s="62" t="s">
        <v>72</v>
      </c>
      <c r="G4" s="61" t="s">
        <v>73</v>
      </c>
      <c r="H4" s="61" t="s">
        <v>79</v>
      </c>
      <c r="I4" s="61" t="s">
        <v>80</v>
      </c>
      <c r="J4" s="61" t="s">
        <v>78</v>
      </c>
      <c r="K4" s="61" t="s">
        <v>76</v>
      </c>
      <c r="L4" s="61" t="s">
        <v>77</v>
      </c>
      <c r="M4" s="61" t="s">
        <v>81</v>
      </c>
      <c r="N4" s="61" t="s">
        <v>82</v>
      </c>
      <c r="O4" s="61" t="s">
        <v>83</v>
      </c>
      <c r="P4" s="61" t="s">
        <v>84</v>
      </c>
      <c r="Q4" s="61" t="s">
        <v>71</v>
      </c>
      <c r="R4" s="62" t="s">
        <v>72</v>
      </c>
      <c r="S4" s="52"/>
    </row>
    <row r="5" spans="1:20" x14ac:dyDescent="0.4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20" x14ac:dyDescent="0.4">
      <c r="A6" s="63" t="s">
        <v>74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7" spans="1:20" x14ac:dyDescent="0.4">
      <c r="A7" s="52" t="s">
        <v>56</v>
      </c>
      <c r="B7" s="31" t="s">
        <v>108</v>
      </c>
      <c r="C7" s="52"/>
      <c r="D7" s="52"/>
      <c r="E7" s="52"/>
      <c r="F7" s="52"/>
      <c r="G7" s="64">
        <v>1000000</v>
      </c>
      <c r="H7" s="52"/>
      <c r="I7" s="52"/>
      <c r="J7" s="52"/>
      <c r="K7" s="52"/>
      <c r="L7" s="52"/>
      <c r="M7" s="65">
        <f>G7</f>
        <v>1000000</v>
      </c>
      <c r="N7" s="52"/>
      <c r="O7" s="52"/>
      <c r="P7" s="52"/>
      <c r="Q7" s="52"/>
      <c r="R7" s="52"/>
      <c r="S7" s="66">
        <f t="shared" ref="S7:S12" si="0">SUM(G7:R7)</f>
        <v>2000000</v>
      </c>
    </row>
    <row r="8" spans="1:20" x14ac:dyDescent="0.4">
      <c r="A8" s="52" t="s">
        <v>75</v>
      </c>
      <c r="B8" s="50">
        <v>1600000</v>
      </c>
      <c r="C8" s="52"/>
      <c r="D8" s="66">
        <v>600000</v>
      </c>
      <c r="E8" s="66"/>
      <c r="F8" s="66"/>
      <c r="G8" s="66"/>
      <c r="H8" s="66">
        <v>400000</v>
      </c>
      <c r="I8" s="66"/>
      <c r="J8" s="66"/>
      <c r="K8" s="66"/>
      <c r="L8" s="66"/>
      <c r="M8" s="66">
        <v>600000</v>
      </c>
      <c r="N8" s="66"/>
      <c r="O8" s="66"/>
      <c r="P8" s="66"/>
      <c r="Q8" s="66"/>
      <c r="R8" s="66"/>
      <c r="S8" s="66">
        <f t="shared" si="0"/>
        <v>1000000</v>
      </c>
    </row>
    <row r="9" spans="1:20" x14ac:dyDescent="0.4">
      <c r="A9" s="52" t="s">
        <v>6</v>
      </c>
      <c r="B9" s="50">
        <v>825000</v>
      </c>
      <c r="C9" s="50"/>
      <c r="D9" s="66">
        <v>300000</v>
      </c>
      <c r="E9" s="66"/>
      <c r="F9" s="66"/>
      <c r="G9" s="66"/>
      <c r="H9" s="66">
        <v>300000</v>
      </c>
      <c r="I9" s="66"/>
      <c r="J9" s="66"/>
      <c r="K9" s="66"/>
      <c r="L9" s="66"/>
      <c r="M9" s="66">
        <v>300000</v>
      </c>
      <c r="N9" s="66"/>
      <c r="O9" s="66"/>
      <c r="P9" s="66"/>
      <c r="Q9" s="66"/>
      <c r="R9" s="66"/>
      <c r="S9" s="66">
        <f t="shared" si="0"/>
        <v>600000</v>
      </c>
    </row>
    <row r="10" spans="1:20" x14ac:dyDescent="0.4">
      <c r="A10" s="52" t="s">
        <v>86</v>
      </c>
      <c r="B10" s="50"/>
      <c r="C10" s="50"/>
      <c r="D10" s="50">
        <v>27700</v>
      </c>
      <c r="E10" s="50">
        <f>D10</f>
        <v>27700</v>
      </c>
      <c r="F10" s="50">
        <v>27700</v>
      </c>
      <c r="G10" s="50">
        <v>27700</v>
      </c>
      <c r="H10" s="50">
        <v>27700</v>
      </c>
      <c r="I10" s="50">
        <v>27700</v>
      </c>
      <c r="J10" s="50">
        <v>27700</v>
      </c>
      <c r="K10" s="50">
        <v>27700</v>
      </c>
      <c r="L10" s="50">
        <v>27700</v>
      </c>
      <c r="M10" s="50">
        <v>27700</v>
      </c>
      <c r="N10" s="50">
        <v>27700</v>
      </c>
      <c r="O10" s="50">
        <v>27700</v>
      </c>
      <c r="P10" s="50">
        <v>27700</v>
      </c>
      <c r="Q10" s="50">
        <v>27700</v>
      </c>
      <c r="R10" s="50">
        <v>27700</v>
      </c>
      <c r="S10" s="66">
        <f t="shared" si="0"/>
        <v>332400</v>
      </c>
    </row>
    <row r="11" spans="1:20" x14ac:dyDescent="0.4">
      <c r="A11" s="52" t="s">
        <v>68</v>
      </c>
      <c r="B11" s="50">
        <f>('10-year cash flow'!B23+5000000)</f>
        <v>8469775</v>
      </c>
      <c r="C11" s="67">
        <v>4.0000000000000001E-3</v>
      </c>
      <c r="D11" s="66">
        <f t="shared" ref="D11:R11" si="1">$B$11*$C$11/12</f>
        <v>2823.2583333333332</v>
      </c>
      <c r="E11" s="66">
        <f t="shared" si="1"/>
        <v>2823.2583333333332</v>
      </c>
      <c r="F11" s="66">
        <f t="shared" si="1"/>
        <v>2823.2583333333332</v>
      </c>
      <c r="G11" s="66">
        <f t="shared" si="1"/>
        <v>2823.2583333333332</v>
      </c>
      <c r="H11" s="66">
        <f t="shared" si="1"/>
        <v>2823.2583333333332</v>
      </c>
      <c r="I11" s="66">
        <f t="shared" si="1"/>
        <v>2823.2583333333332</v>
      </c>
      <c r="J11" s="66">
        <f t="shared" si="1"/>
        <v>2823.2583333333332</v>
      </c>
      <c r="K11" s="66">
        <f t="shared" si="1"/>
        <v>2823.2583333333332</v>
      </c>
      <c r="L11" s="66">
        <f t="shared" si="1"/>
        <v>2823.2583333333332</v>
      </c>
      <c r="M11" s="66">
        <f t="shared" si="1"/>
        <v>2823.2583333333332</v>
      </c>
      <c r="N11" s="66">
        <f t="shared" si="1"/>
        <v>2823.2583333333332</v>
      </c>
      <c r="O11" s="66">
        <f t="shared" si="1"/>
        <v>2823.2583333333332</v>
      </c>
      <c r="P11" s="66">
        <f t="shared" si="1"/>
        <v>2823.2583333333332</v>
      </c>
      <c r="Q11" s="66">
        <f t="shared" si="1"/>
        <v>2823.2583333333332</v>
      </c>
      <c r="R11" s="66">
        <f t="shared" si="1"/>
        <v>2823.2583333333332</v>
      </c>
      <c r="S11" s="66">
        <f t="shared" si="0"/>
        <v>33879.099999999991</v>
      </c>
      <c r="T11" s="42" t="s">
        <v>117</v>
      </c>
    </row>
    <row r="12" spans="1:20" x14ac:dyDescent="0.4">
      <c r="A12" s="52" t="s">
        <v>94</v>
      </c>
      <c r="B12" s="52"/>
      <c r="C12" s="52"/>
      <c r="D12" s="50">
        <f t="shared" ref="D12:R12" si="2">SUM(D7:D11)</f>
        <v>930523.2583333333</v>
      </c>
      <c r="E12" s="50">
        <f t="shared" si="2"/>
        <v>30523.258333333331</v>
      </c>
      <c r="F12" s="50">
        <f t="shared" si="2"/>
        <v>30523.258333333331</v>
      </c>
      <c r="G12" s="50">
        <f t="shared" si="2"/>
        <v>1030523.2583333333</v>
      </c>
      <c r="H12" s="50">
        <f t="shared" si="2"/>
        <v>730523.2583333333</v>
      </c>
      <c r="I12" s="50">
        <f t="shared" si="2"/>
        <v>30523.258333333331</v>
      </c>
      <c r="J12" s="50">
        <f t="shared" si="2"/>
        <v>30523.258333333331</v>
      </c>
      <c r="K12" s="50">
        <f t="shared" si="2"/>
        <v>30523.258333333331</v>
      </c>
      <c r="L12" s="50">
        <f t="shared" si="2"/>
        <v>30523.258333333331</v>
      </c>
      <c r="M12" s="50">
        <f t="shared" si="2"/>
        <v>1930523.2583333333</v>
      </c>
      <c r="N12" s="50">
        <f t="shared" si="2"/>
        <v>30523.258333333331</v>
      </c>
      <c r="O12" s="50">
        <f t="shared" si="2"/>
        <v>30523.258333333331</v>
      </c>
      <c r="P12" s="50">
        <f t="shared" si="2"/>
        <v>30523.258333333331</v>
      </c>
      <c r="Q12" s="50">
        <f t="shared" si="2"/>
        <v>30523.258333333331</v>
      </c>
      <c r="R12" s="50">
        <f t="shared" si="2"/>
        <v>30523.258333333331</v>
      </c>
      <c r="S12" s="66">
        <f t="shared" si="0"/>
        <v>3966279.0999999996</v>
      </c>
      <c r="T12" s="43">
        <f>SUM(S7:S11)</f>
        <v>3966279.1</v>
      </c>
    </row>
    <row r="13" spans="1:20" x14ac:dyDescent="0.4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66"/>
    </row>
    <row r="14" spans="1:20" x14ac:dyDescent="0.4">
      <c r="A14" s="63" t="s">
        <v>89</v>
      </c>
      <c r="B14" s="53" t="s">
        <v>109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0"/>
      <c r="N14" s="52"/>
      <c r="O14" s="52"/>
      <c r="P14" s="52"/>
      <c r="Q14" s="52"/>
      <c r="R14" s="52"/>
      <c r="S14" s="66"/>
    </row>
    <row r="15" spans="1:20" x14ac:dyDescent="0.4">
      <c r="A15" s="68" t="s">
        <v>90</v>
      </c>
      <c r="B15" s="69">
        <v>4.2000000000000003E-2</v>
      </c>
      <c r="C15" s="69">
        <v>0.03</v>
      </c>
      <c r="D15" s="52"/>
      <c r="E15" s="52"/>
      <c r="F15" s="52"/>
      <c r="G15" s="50">
        <f>1030000*(1+IF(B15&gt;C15,C15,B15))</f>
        <v>1060900</v>
      </c>
      <c r="H15" s="52"/>
      <c r="I15" s="52"/>
      <c r="J15" s="52"/>
      <c r="K15" s="52"/>
      <c r="L15" s="52"/>
      <c r="M15" s="50">
        <f>G15</f>
        <v>1060900</v>
      </c>
      <c r="N15" s="52"/>
      <c r="O15" s="52"/>
      <c r="P15" s="52"/>
      <c r="Q15" s="52"/>
      <c r="R15" s="52"/>
      <c r="S15" s="66">
        <f t="shared" ref="S15:S21" si="3">SUM(G15:R15)</f>
        <v>2121800</v>
      </c>
    </row>
    <row r="16" spans="1:20" x14ac:dyDescent="0.4">
      <c r="A16" s="52" t="s">
        <v>111</v>
      </c>
      <c r="B16" s="70">
        <v>567500</v>
      </c>
      <c r="C16" s="52" t="s">
        <v>91</v>
      </c>
      <c r="D16" s="50">
        <v>48000</v>
      </c>
      <c r="E16" s="50">
        <v>48000</v>
      </c>
      <c r="F16" s="50">
        <v>48000</v>
      </c>
      <c r="G16" s="66">
        <f t="shared" ref="G16:R16" si="4">$B$16/12</f>
        <v>47291.666666666664</v>
      </c>
      <c r="H16" s="66">
        <f t="shared" si="4"/>
        <v>47291.666666666664</v>
      </c>
      <c r="I16" s="66">
        <f t="shared" si="4"/>
        <v>47291.666666666664</v>
      </c>
      <c r="J16" s="66">
        <f t="shared" si="4"/>
        <v>47291.666666666664</v>
      </c>
      <c r="K16" s="66">
        <f t="shared" si="4"/>
        <v>47291.666666666664</v>
      </c>
      <c r="L16" s="66">
        <f t="shared" si="4"/>
        <v>47291.666666666664</v>
      </c>
      <c r="M16" s="66">
        <f t="shared" si="4"/>
        <v>47291.666666666664</v>
      </c>
      <c r="N16" s="66">
        <f t="shared" si="4"/>
        <v>47291.666666666664</v>
      </c>
      <c r="O16" s="66">
        <f t="shared" si="4"/>
        <v>47291.666666666664</v>
      </c>
      <c r="P16" s="66">
        <f t="shared" si="4"/>
        <v>47291.666666666664</v>
      </c>
      <c r="Q16" s="66">
        <f t="shared" si="4"/>
        <v>47291.666666666664</v>
      </c>
      <c r="R16" s="66">
        <f t="shared" si="4"/>
        <v>47291.666666666664</v>
      </c>
      <c r="S16" s="66">
        <f t="shared" si="3"/>
        <v>567500.00000000012</v>
      </c>
    </row>
    <row r="17" spans="1:20" x14ac:dyDescent="0.4">
      <c r="A17" s="52" t="s">
        <v>112</v>
      </c>
      <c r="B17" s="52"/>
      <c r="C17" s="52"/>
      <c r="D17" s="50">
        <f>'10-year cash flow'!$C$12/12</f>
        <v>0</v>
      </c>
      <c r="E17" s="50">
        <f>'10-year cash flow'!$C$12/12</f>
        <v>0</v>
      </c>
      <c r="F17" s="50">
        <f>'10-year cash flow'!$C$12/12</f>
        <v>0</v>
      </c>
      <c r="G17" s="50">
        <f>'10-year cash flow'!$D$12/12</f>
        <v>0</v>
      </c>
      <c r="H17" s="50">
        <f>'10-year cash flow'!$D$12/12</f>
        <v>0</v>
      </c>
      <c r="I17" s="50">
        <f>'10-year cash flow'!$D$12/12</f>
        <v>0</v>
      </c>
      <c r="J17" s="50">
        <f>'10-year cash flow'!$D$12/12</f>
        <v>0</v>
      </c>
      <c r="K17" s="50">
        <f>'10-year cash flow'!$D$12/12</f>
        <v>0</v>
      </c>
      <c r="L17" s="50">
        <f>'10-year cash flow'!$D$12/12</f>
        <v>0</v>
      </c>
      <c r="M17" s="50">
        <f>'10-year cash flow'!$D$12/12</f>
        <v>0</v>
      </c>
      <c r="N17" s="50">
        <f>'10-year cash flow'!$D$12/12</f>
        <v>0</v>
      </c>
      <c r="O17" s="50">
        <f>'10-year cash flow'!$D$12/12</f>
        <v>0</v>
      </c>
      <c r="P17" s="71" t="s">
        <v>96</v>
      </c>
      <c r="Q17" s="50">
        <v>0</v>
      </c>
      <c r="R17" s="50">
        <v>0</v>
      </c>
      <c r="S17" s="66">
        <f t="shared" si="3"/>
        <v>0</v>
      </c>
    </row>
    <row r="18" spans="1:20" x14ac:dyDescent="0.4">
      <c r="A18" s="52" t="s">
        <v>113</v>
      </c>
      <c r="B18" s="52"/>
      <c r="C18" s="52"/>
      <c r="D18" s="50">
        <f>'10-year cash flow'!$C$13/12</f>
        <v>0</v>
      </c>
      <c r="E18" s="50">
        <f>'10-year cash flow'!$C$13/12</f>
        <v>0</v>
      </c>
      <c r="F18" s="50">
        <f>'10-year cash flow'!$C$13/12</f>
        <v>0</v>
      </c>
      <c r="G18" s="50">
        <f>'10-year cash flow'!$C$13/12</f>
        <v>0</v>
      </c>
      <c r="H18" s="50">
        <f>'10-year cash flow'!$C$13/12</f>
        <v>0</v>
      </c>
      <c r="I18" s="50">
        <f>'10-year cash flow'!$C$13/12</f>
        <v>0</v>
      </c>
      <c r="J18" s="50">
        <f>'10-year cash flow'!$C$13/12</f>
        <v>0</v>
      </c>
      <c r="K18" s="50">
        <f>'10-year cash flow'!$C$13/12</f>
        <v>0</v>
      </c>
      <c r="L18" s="50">
        <f>'10-year cash flow'!$C$13/12</f>
        <v>0</v>
      </c>
      <c r="M18" s="50">
        <f>'10-year cash flow'!$C$13/12</f>
        <v>0</v>
      </c>
      <c r="N18" s="50">
        <f>'10-year cash flow'!$C$13/12</f>
        <v>0</v>
      </c>
      <c r="O18" s="50">
        <f>'10-year cash flow'!$C$13/12</f>
        <v>0</v>
      </c>
      <c r="P18" s="50">
        <f>'10-year cash flow'!$C$13/12</f>
        <v>0</v>
      </c>
      <c r="Q18" s="50">
        <f>'10-year cash flow'!$C$13/12</f>
        <v>0</v>
      </c>
      <c r="R18" s="50">
        <f>'10-year cash flow'!$C$13/12</f>
        <v>0</v>
      </c>
      <c r="S18" s="66">
        <f t="shared" si="3"/>
        <v>0</v>
      </c>
    </row>
    <row r="19" spans="1:20" x14ac:dyDescent="0.4">
      <c r="A19" s="52" t="s">
        <v>114</v>
      </c>
      <c r="B19" s="52"/>
      <c r="C19" s="52"/>
      <c r="D19" s="50">
        <f>'10-year cash flow'!$C$14/12</f>
        <v>0</v>
      </c>
      <c r="E19" s="50">
        <f>'10-year cash flow'!$C$14/12</f>
        <v>0</v>
      </c>
      <c r="F19" s="50">
        <f>'10-year cash flow'!$C$14/12</f>
        <v>0</v>
      </c>
      <c r="G19" s="50">
        <f>'10-year cash flow'!$D$14/12</f>
        <v>19206.25</v>
      </c>
      <c r="H19" s="50">
        <f>'10-year cash flow'!$D$14/12</f>
        <v>19206.25</v>
      </c>
      <c r="I19" s="50">
        <f>'10-year cash flow'!$D$14/12</f>
        <v>19206.25</v>
      </c>
      <c r="J19" s="50">
        <f>'10-year cash flow'!$D$14/12</f>
        <v>19206.25</v>
      </c>
      <c r="K19" s="50">
        <f>'10-year cash flow'!$D$14/12</f>
        <v>19206.25</v>
      </c>
      <c r="L19" s="50">
        <f>'10-year cash flow'!$D$14/12</f>
        <v>19206.25</v>
      </c>
      <c r="M19" s="50">
        <f>'10-year cash flow'!$D$14/12</f>
        <v>19206.25</v>
      </c>
      <c r="N19" s="50">
        <f>'10-year cash flow'!$D$14/12</f>
        <v>19206.25</v>
      </c>
      <c r="O19" s="50">
        <f>'10-year cash flow'!$D$14/12</f>
        <v>19206.25</v>
      </c>
      <c r="P19" s="50">
        <f>'10-year cash flow'!$D$14/12</f>
        <v>19206.25</v>
      </c>
      <c r="Q19" s="50">
        <f>'10-year cash flow'!$D$14/12</f>
        <v>19206.25</v>
      </c>
      <c r="R19" s="50">
        <f>'10-year cash flow'!$D$14/12</f>
        <v>19206.25</v>
      </c>
      <c r="S19" s="66">
        <f t="shared" si="3"/>
        <v>230475</v>
      </c>
    </row>
    <row r="20" spans="1:20" x14ac:dyDescent="0.4">
      <c r="A20" s="52" t="s">
        <v>110</v>
      </c>
      <c r="B20" s="50">
        <v>250000</v>
      </c>
      <c r="C20" s="52"/>
      <c r="D20" s="66">
        <f t="shared" ref="D20:R20" si="5">$B$20/12</f>
        <v>20833.333333333332</v>
      </c>
      <c r="E20" s="66">
        <f t="shared" si="5"/>
        <v>20833.333333333332</v>
      </c>
      <c r="F20" s="66">
        <f t="shared" si="5"/>
        <v>20833.333333333332</v>
      </c>
      <c r="G20" s="66">
        <f t="shared" si="5"/>
        <v>20833.333333333332</v>
      </c>
      <c r="H20" s="66">
        <f t="shared" si="5"/>
        <v>20833.333333333332</v>
      </c>
      <c r="I20" s="66">
        <f t="shared" si="5"/>
        <v>20833.333333333332</v>
      </c>
      <c r="J20" s="66">
        <f t="shared" si="5"/>
        <v>20833.333333333332</v>
      </c>
      <c r="K20" s="66">
        <f t="shared" si="5"/>
        <v>20833.333333333332</v>
      </c>
      <c r="L20" s="66">
        <f t="shared" si="5"/>
        <v>20833.333333333332</v>
      </c>
      <c r="M20" s="66">
        <f t="shared" si="5"/>
        <v>20833.333333333332</v>
      </c>
      <c r="N20" s="66">
        <f t="shared" si="5"/>
        <v>20833.333333333332</v>
      </c>
      <c r="O20" s="66">
        <f t="shared" si="5"/>
        <v>20833.333333333332</v>
      </c>
      <c r="P20" s="66">
        <f t="shared" si="5"/>
        <v>20833.333333333332</v>
      </c>
      <c r="Q20" s="66">
        <f t="shared" si="5"/>
        <v>20833.333333333332</v>
      </c>
      <c r="R20" s="66">
        <f t="shared" si="5"/>
        <v>20833.333333333332</v>
      </c>
      <c r="S20" s="66">
        <f t="shared" si="3"/>
        <v>250000.00000000003</v>
      </c>
    </row>
    <row r="21" spans="1:20" x14ac:dyDescent="0.4">
      <c r="A21" s="52" t="s">
        <v>94</v>
      </c>
      <c r="B21" s="52"/>
      <c r="C21" s="52"/>
      <c r="D21" s="50">
        <f t="shared" ref="D21:R21" si="6">SUM(D15:D20)</f>
        <v>68833.333333333328</v>
      </c>
      <c r="E21" s="50">
        <f t="shared" si="6"/>
        <v>68833.333333333328</v>
      </c>
      <c r="F21" s="50">
        <f t="shared" si="6"/>
        <v>68833.333333333328</v>
      </c>
      <c r="G21" s="50">
        <f t="shared" si="6"/>
        <v>1148231.25</v>
      </c>
      <c r="H21" s="50">
        <f t="shared" si="6"/>
        <v>87331.249999999985</v>
      </c>
      <c r="I21" s="50">
        <f t="shared" si="6"/>
        <v>87331.249999999985</v>
      </c>
      <c r="J21" s="50">
        <f t="shared" si="6"/>
        <v>87331.249999999985</v>
      </c>
      <c r="K21" s="50">
        <f t="shared" si="6"/>
        <v>87331.249999999985</v>
      </c>
      <c r="L21" s="50">
        <f t="shared" si="6"/>
        <v>87331.249999999985</v>
      </c>
      <c r="M21" s="50">
        <f t="shared" si="6"/>
        <v>1148231.25</v>
      </c>
      <c r="N21" s="50">
        <f t="shared" si="6"/>
        <v>87331.249999999985</v>
      </c>
      <c r="O21" s="50">
        <f t="shared" si="6"/>
        <v>87331.249999999985</v>
      </c>
      <c r="P21" s="50">
        <f t="shared" si="6"/>
        <v>87331.249999999985</v>
      </c>
      <c r="Q21" s="50">
        <f t="shared" si="6"/>
        <v>87331.249999999985</v>
      </c>
      <c r="R21" s="50">
        <f t="shared" si="6"/>
        <v>87331.249999999985</v>
      </c>
      <c r="S21" s="66">
        <f t="shared" si="3"/>
        <v>3169775</v>
      </c>
      <c r="T21" s="43">
        <f>SUM(S15:S20)</f>
        <v>3169775</v>
      </c>
    </row>
    <row r="22" spans="1:20" x14ac:dyDescent="0.4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66"/>
    </row>
    <row r="23" spans="1:20" s="44" customFormat="1" x14ac:dyDescent="0.4">
      <c r="A23" s="72" t="s">
        <v>95</v>
      </c>
      <c r="B23" s="73"/>
      <c r="C23" s="73"/>
      <c r="D23" s="65">
        <f t="shared" ref="D23:R23" si="7">D12-D21</f>
        <v>861689.92499999993</v>
      </c>
      <c r="E23" s="65">
        <f t="shared" si="7"/>
        <v>-38310.074999999997</v>
      </c>
      <c r="F23" s="65">
        <f t="shared" si="7"/>
        <v>-38310.074999999997</v>
      </c>
      <c r="G23" s="65">
        <f t="shared" si="7"/>
        <v>-117707.9916666667</v>
      </c>
      <c r="H23" s="65">
        <f t="shared" si="7"/>
        <v>643192.0083333333</v>
      </c>
      <c r="I23" s="65">
        <f t="shared" si="7"/>
        <v>-56807.991666666654</v>
      </c>
      <c r="J23" s="65">
        <f t="shared" si="7"/>
        <v>-56807.991666666654</v>
      </c>
      <c r="K23" s="65">
        <f t="shared" si="7"/>
        <v>-56807.991666666654</v>
      </c>
      <c r="L23" s="65">
        <f t="shared" si="7"/>
        <v>-56807.991666666654</v>
      </c>
      <c r="M23" s="65">
        <f t="shared" si="7"/>
        <v>782292.0083333333</v>
      </c>
      <c r="N23" s="65">
        <f t="shared" si="7"/>
        <v>-56807.991666666654</v>
      </c>
      <c r="O23" s="65">
        <f t="shared" si="7"/>
        <v>-56807.991666666654</v>
      </c>
      <c r="P23" s="65">
        <f t="shared" si="7"/>
        <v>-56807.991666666654</v>
      </c>
      <c r="Q23" s="65">
        <f t="shared" si="7"/>
        <v>-56807.991666666654</v>
      </c>
      <c r="R23" s="65">
        <f t="shared" si="7"/>
        <v>-56807.991666666654</v>
      </c>
      <c r="S23" s="65">
        <f>SUM(G23:R23)</f>
        <v>796504.09999999986</v>
      </c>
      <c r="T23" s="47">
        <f>T12-T21</f>
        <v>796504.10000000009</v>
      </c>
    </row>
    <row r="24" spans="1:20" x14ac:dyDescent="0.4">
      <c r="A24" s="31" t="s">
        <v>123</v>
      </c>
      <c r="B24" s="52"/>
      <c r="C24" s="52"/>
      <c r="D24" s="66">
        <f>D23</f>
        <v>861689.92499999993</v>
      </c>
      <c r="E24" s="66">
        <f t="shared" ref="E24:R24" si="8">E23+D24</f>
        <v>823379.85</v>
      </c>
      <c r="F24" s="66">
        <f t="shared" si="8"/>
        <v>785069.77500000002</v>
      </c>
      <c r="G24" s="66">
        <f t="shared" si="8"/>
        <v>667361.78333333333</v>
      </c>
      <c r="H24" s="66">
        <f t="shared" si="8"/>
        <v>1310553.7916666665</v>
      </c>
      <c r="I24" s="66">
        <f t="shared" si="8"/>
        <v>1253745.7999999998</v>
      </c>
      <c r="J24" s="66">
        <f t="shared" si="8"/>
        <v>1196937.8083333331</v>
      </c>
      <c r="K24" s="66">
        <f t="shared" si="8"/>
        <v>1140129.8166666664</v>
      </c>
      <c r="L24" s="66">
        <f t="shared" si="8"/>
        <v>1083321.8249999997</v>
      </c>
      <c r="M24" s="66">
        <f t="shared" si="8"/>
        <v>1865613.833333333</v>
      </c>
      <c r="N24" s="66">
        <f t="shared" si="8"/>
        <v>1808805.8416666663</v>
      </c>
      <c r="O24" s="66">
        <f t="shared" si="8"/>
        <v>1751997.8499999996</v>
      </c>
      <c r="P24" s="66">
        <f t="shared" si="8"/>
        <v>1695189.8583333329</v>
      </c>
      <c r="Q24" s="66">
        <f t="shared" si="8"/>
        <v>1638381.8666666662</v>
      </c>
      <c r="R24" s="66">
        <f t="shared" si="8"/>
        <v>1581573.8749999995</v>
      </c>
      <c r="S24" s="66">
        <f>R24</f>
        <v>1581573.8749999995</v>
      </c>
    </row>
    <row r="25" spans="1:20" x14ac:dyDescent="0.4">
      <c r="A25" s="52"/>
      <c r="B25" s="52"/>
      <c r="C25" s="52"/>
      <c r="D25" s="66"/>
      <c r="E25" s="66"/>
      <c r="F25" s="66"/>
      <c r="G25" s="66"/>
      <c r="H25" s="52"/>
      <c r="I25" s="52"/>
      <c r="J25" s="52"/>
      <c r="K25" s="52"/>
      <c r="L25" s="52"/>
      <c r="M25" s="66"/>
      <c r="N25" s="52"/>
      <c r="O25" s="52"/>
      <c r="P25" s="52"/>
      <c r="Q25" s="52"/>
      <c r="R25" s="52"/>
      <c r="S25" s="52"/>
    </row>
    <row r="26" spans="1:20" x14ac:dyDescent="0.4">
      <c r="D26" s="45"/>
      <c r="E26" s="45"/>
      <c r="F26" s="45"/>
      <c r="G26" s="45"/>
      <c r="M26" s="43"/>
    </row>
    <row r="27" spans="1:20" x14ac:dyDescent="0.4">
      <c r="M27" s="43"/>
    </row>
    <row r="28" spans="1:20" x14ac:dyDescent="0.4">
      <c r="M28" s="43"/>
    </row>
    <row r="29" spans="1:20" x14ac:dyDescent="0.4">
      <c r="M29" s="43"/>
    </row>
    <row r="30" spans="1:20" x14ac:dyDescent="0.4">
      <c r="M30" s="43"/>
    </row>
    <row r="33" spans="16:19" x14ac:dyDescent="0.4">
      <c r="P33" s="35"/>
      <c r="S33" s="43"/>
    </row>
  </sheetData>
  <pageMargins left="0.7" right="0.7" top="0.75" bottom="0.75" header="0.3" footer="0.3"/>
  <pageSetup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0"/>
  <sheetViews>
    <sheetView topLeftCell="A16" zoomScaleNormal="100" workbookViewId="0">
      <selection activeCell="D15" sqref="D15"/>
    </sheetView>
  </sheetViews>
  <sheetFormatPr defaultRowHeight="14.6" x14ac:dyDescent="0.4"/>
  <cols>
    <col min="1" max="1" width="36" bestFit="1" customWidth="1"/>
    <col min="2" max="2" width="8.53515625" bestFit="1" customWidth="1"/>
    <col min="3" max="3" width="16.3046875" bestFit="1" customWidth="1"/>
    <col min="4" max="4" width="12.07421875" style="43" bestFit="1" customWidth="1"/>
    <col min="5" max="13" width="9.84375" style="43" bestFit="1" customWidth="1"/>
    <col min="14" max="14" width="12.3046875" style="43" bestFit="1" customWidth="1"/>
    <col min="15" max="15" width="13" style="43" customWidth="1"/>
    <col min="16" max="17" width="13" customWidth="1"/>
    <col min="18" max="18" width="9.53515625" bestFit="1" customWidth="1"/>
    <col min="19" max="19" width="14.3046875" bestFit="1" customWidth="1"/>
    <col min="20" max="20" width="12.07421875" style="147" bestFit="1" customWidth="1"/>
  </cols>
  <sheetData>
    <row r="1" spans="1:20" ht="15" thickBot="1" x14ac:dyDescent="0.45">
      <c r="A1" s="52"/>
      <c r="B1" s="52"/>
      <c r="C1" s="52"/>
      <c r="D1" s="70" t="s">
        <v>93</v>
      </c>
      <c r="E1" s="70"/>
      <c r="F1" s="70"/>
      <c r="G1" s="70"/>
      <c r="H1" s="70"/>
      <c r="I1" s="70"/>
      <c r="J1" s="70" t="s">
        <v>92</v>
      </c>
      <c r="K1" s="66"/>
      <c r="L1" s="66"/>
      <c r="M1" s="66"/>
      <c r="N1" s="66"/>
      <c r="O1" s="66"/>
      <c r="P1" s="52"/>
      <c r="Q1" s="52"/>
      <c r="S1" t="s">
        <v>249</v>
      </c>
      <c r="T1" s="147" t="s">
        <v>248</v>
      </c>
    </row>
    <row r="2" spans="1:20" ht="15" thickBot="1" x14ac:dyDescent="0.45">
      <c r="A2" s="52"/>
      <c r="B2" s="178" t="s">
        <v>85</v>
      </c>
      <c r="C2" s="179"/>
      <c r="D2" s="74" t="s">
        <v>142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6"/>
      <c r="P2" s="53" t="s">
        <v>88</v>
      </c>
      <c r="Q2" s="53"/>
    </row>
    <row r="3" spans="1:20" ht="15" thickBot="1" x14ac:dyDescent="0.45">
      <c r="A3" s="52" t="s">
        <v>70</v>
      </c>
      <c r="B3" s="52"/>
      <c r="C3" s="52"/>
      <c r="D3" s="88" t="s">
        <v>73</v>
      </c>
      <c r="E3" s="77" t="s">
        <v>79</v>
      </c>
      <c r="F3" s="77" t="s">
        <v>80</v>
      </c>
      <c r="G3" s="77" t="s">
        <v>78</v>
      </c>
      <c r="H3" s="77" t="s">
        <v>76</v>
      </c>
      <c r="I3" s="77" t="s">
        <v>77</v>
      </c>
      <c r="J3" s="77" t="s">
        <v>81</v>
      </c>
      <c r="K3" s="77" t="s">
        <v>82</v>
      </c>
      <c r="L3" s="77" t="s">
        <v>83</v>
      </c>
      <c r="M3" s="77" t="s">
        <v>84</v>
      </c>
      <c r="N3" s="77" t="s">
        <v>71</v>
      </c>
      <c r="O3" s="78" t="s">
        <v>72</v>
      </c>
      <c r="P3" s="52"/>
      <c r="Q3" s="52"/>
    </row>
    <row r="4" spans="1:20" x14ac:dyDescent="0.4">
      <c r="A4" s="52"/>
      <c r="B4" s="52"/>
      <c r="C4" s="52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52"/>
      <c r="Q4" s="52"/>
    </row>
    <row r="5" spans="1:20" x14ac:dyDescent="0.4">
      <c r="A5" s="63" t="s">
        <v>74</v>
      </c>
      <c r="B5" s="52"/>
      <c r="C5" s="52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52"/>
      <c r="Q5" s="52"/>
    </row>
    <row r="6" spans="1:20" x14ac:dyDescent="0.4">
      <c r="A6" s="52" t="s">
        <v>97</v>
      </c>
      <c r="B6" s="52"/>
      <c r="C6" s="52"/>
      <c r="D6" s="50">
        <v>250000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S6" s="43">
        <f>D6</f>
        <v>250000</v>
      </c>
      <c r="T6" s="147">
        <v>250000</v>
      </c>
    </row>
    <row r="7" spans="1:20" x14ac:dyDescent="0.4">
      <c r="A7" s="52" t="s">
        <v>98</v>
      </c>
      <c r="B7" s="79">
        <f>0.44%</f>
        <v>4.4000000000000003E-3</v>
      </c>
      <c r="C7" s="50">
        <f>'Cash Assets'!B4</f>
        <v>3473565</v>
      </c>
      <c r="D7" s="50">
        <f>B7*C7/12</f>
        <v>1273.6405000000002</v>
      </c>
      <c r="E7" s="50">
        <f>D7</f>
        <v>1273.6405000000002</v>
      </c>
      <c r="F7" s="50">
        <f t="shared" ref="F7:O7" si="0">E7</f>
        <v>1273.6405000000002</v>
      </c>
      <c r="G7" s="50">
        <f t="shared" si="0"/>
        <v>1273.6405000000002</v>
      </c>
      <c r="H7" s="50">
        <f t="shared" si="0"/>
        <v>1273.6405000000002</v>
      </c>
      <c r="I7" s="50">
        <f t="shared" si="0"/>
        <v>1273.6405000000002</v>
      </c>
      <c r="J7" s="50">
        <f t="shared" si="0"/>
        <v>1273.6405000000002</v>
      </c>
      <c r="K7" s="50">
        <f t="shared" si="0"/>
        <v>1273.6405000000002</v>
      </c>
      <c r="L7" s="50">
        <f t="shared" si="0"/>
        <v>1273.6405000000002</v>
      </c>
      <c r="M7" s="50">
        <f t="shared" si="0"/>
        <v>1273.6405000000002</v>
      </c>
      <c r="N7" s="50">
        <f t="shared" si="0"/>
        <v>1273.6405000000002</v>
      </c>
      <c r="O7" s="50">
        <f t="shared" si="0"/>
        <v>1273.6405000000002</v>
      </c>
      <c r="P7" s="50">
        <f>SUM(D7:O7)</f>
        <v>15283.686</v>
      </c>
      <c r="Q7" s="50"/>
    </row>
    <row r="8" spans="1:20" x14ac:dyDescent="0.4">
      <c r="A8" s="80" t="s">
        <v>107</v>
      </c>
      <c r="B8" s="52"/>
      <c r="C8" s="52"/>
      <c r="D8" s="50">
        <f>D6+D7</f>
        <v>251273.64050000001</v>
      </c>
      <c r="E8" s="50">
        <f t="shared" ref="E8:O8" si="1">E6+E7</f>
        <v>1273.6405000000002</v>
      </c>
      <c r="F8" s="50">
        <f t="shared" si="1"/>
        <v>1273.6405000000002</v>
      </c>
      <c r="G8" s="50">
        <f t="shared" si="1"/>
        <v>1273.6405000000002</v>
      </c>
      <c r="H8" s="50">
        <f t="shared" si="1"/>
        <v>1273.6405000000002</v>
      </c>
      <c r="I8" s="50">
        <f t="shared" si="1"/>
        <v>1273.6405000000002</v>
      </c>
      <c r="J8" s="50">
        <f t="shared" si="1"/>
        <v>1273.6405000000002</v>
      </c>
      <c r="K8" s="50">
        <f t="shared" si="1"/>
        <v>1273.6405000000002</v>
      </c>
      <c r="L8" s="50">
        <f t="shared" si="1"/>
        <v>1273.6405000000002</v>
      </c>
      <c r="M8" s="50">
        <f t="shared" si="1"/>
        <v>1273.6405000000002</v>
      </c>
      <c r="N8" s="50">
        <f t="shared" si="1"/>
        <v>1273.6405000000002</v>
      </c>
      <c r="O8" s="50">
        <f t="shared" si="1"/>
        <v>1273.6405000000002</v>
      </c>
      <c r="P8" s="50">
        <f>SUM(D8:O8)</f>
        <v>265283.68600000005</v>
      </c>
      <c r="Q8" s="50"/>
    </row>
    <row r="9" spans="1:20" x14ac:dyDescent="0.4">
      <c r="A9" s="80"/>
      <c r="B9" s="52"/>
      <c r="C9" s="52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1:20" x14ac:dyDescent="0.4">
      <c r="A10" s="63" t="s">
        <v>99</v>
      </c>
      <c r="B10" s="52"/>
      <c r="C10" s="52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</row>
    <row r="11" spans="1:20" x14ac:dyDescent="0.4">
      <c r="A11" s="52" t="s">
        <v>151</v>
      </c>
      <c r="B11" s="81"/>
      <c r="C11" s="50">
        <v>80000</v>
      </c>
      <c r="D11" s="50"/>
      <c r="E11" s="50"/>
      <c r="F11" s="50">
        <f>$C$11/12</f>
        <v>6666.666666666667</v>
      </c>
      <c r="G11" s="50">
        <f t="shared" ref="G11:O11" si="2">$C$11/12</f>
        <v>6666.666666666667</v>
      </c>
      <c r="H11" s="50">
        <f t="shared" si="2"/>
        <v>6666.666666666667</v>
      </c>
      <c r="I11" s="50">
        <f t="shared" si="2"/>
        <v>6666.666666666667</v>
      </c>
      <c r="J11" s="50">
        <f t="shared" si="2"/>
        <v>6666.666666666667</v>
      </c>
      <c r="K11" s="50">
        <f t="shared" si="2"/>
        <v>6666.666666666667</v>
      </c>
      <c r="L11" s="50">
        <f t="shared" si="2"/>
        <v>6666.666666666667</v>
      </c>
      <c r="M11" s="50">
        <f t="shared" si="2"/>
        <v>6666.666666666667</v>
      </c>
      <c r="N11" s="50">
        <f t="shared" si="2"/>
        <v>6666.666666666667</v>
      </c>
      <c r="O11" s="50">
        <f t="shared" si="2"/>
        <v>6666.666666666667</v>
      </c>
      <c r="P11" s="50">
        <f>SUM(D11:O11)</f>
        <v>66666.666666666657</v>
      </c>
      <c r="Q11" s="50"/>
      <c r="T11" s="147">
        <f>1000+1477.17</f>
        <v>2477.17</v>
      </c>
    </row>
    <row r="12" spans="1:20" x14ac:dyDescent="0.4">
      <c r="A12" s="52" t="s">
        <v>119</v>
      </c>
      <c r="B12" s="82">
        <v>600</v>
      </c>
      <c r="C12" s="52">
        <v>6</v>
      </c>
      <c r="D12" s="50">
        <f>C12*B12</f>
        <v>3600</v>
      </c>
      <c r="E12" s="50">
        <f>D12</f>
        <v>3600</v>
      </c>
      <c r="F12" s="50">
        <f t="shared" ref="F12:O12" si="3">E12</f>
        <v>3600</v>
      </c>
      <c r="G12" s="50">
        <f t="shared" si="3"/>
        <v>3600</v>
      </c>
      <c r="H12" s="50">
        <f t="shared" si="3"/>
        <v>3600</v>
      </c>
      <c r="I12" s="50">
        <f t="shared" si="3"/>
        <v>3600</v>
      </c>
      <c r="J12" s="50">
        <f t="shared" si="3"/>
        <v>3600</v>
      </c>
      <c r="K12" s="50">
        <f t="shared" si="3"/>
        <v>3600</v>
      </c>
      <c r="L12" s="50">
        <f t="shared" si="3"/>
        <v>3600</v>
      </c>
      <c r="M12" s="50">
        <f t="shared" si="3"/>
        <v>3600</v>
      </c>
      <c r="N12" s="50">
        <f t="shared" si="3"/>
        <v>3600</v>
      </c>
      <c r="O12" s="50">
        <f t="shared" si="3"/>
        <v>3600</v>
      </c>
      <c r="P12" s="50">
        <f>SUM(D12:O12)</f>
        <v>43200</v>
      </c>
      <c r="Q12" s="50"/>
    </row>
    <row r="13" spans="1:20" x14ac:dyDescent="0.4">
      <c r="A13" s="52" t="s">
        <v>144</v>
      </c>
      <c r="B13" s="50">
        <v>500</v>
      </c>
      <c r="C13" s="52"/>
      <c r="D13" s="66">
        <f>$B$13</f>
        <v>500</v>
      </c>
      <c r="E13" s="66">
        <f t="shared" ref="E13:O13" si="4">$B$13</f>
        <v>500</v>
      </c>
      <c r="F13" s="66">
        <f t="shared" si="4"/>
        <v>500</v>
      </c>
      <c r="G13" s="66">
        <f t="shared" si="4"/>
        <v>500</v>
      </c>
      <c r="H13" s="66">
        <f t="shared" si="4"/>
        <v>500</v>
      </c>
      <c r="I13" s="66">
        <f t="shared" si="4"/>
        <v>500</v>
      </c>
      <c r="J13" s="66">
        <f t="shared" si="4"/>
        <v>500</v>
      </c>
      <c r="K13" s="66">
        <f t="shared" si="4"/>
        <v>500</v>
      </c>
      <c r="L13" s="66">
        <f t="shared" si="4"/>
        <v>500</v>
      </c>
      <c r="M13" s="66">
        <f t="shared" si="4"/>
        <v>500</v>
      </c>
      <c r="N13" s="66">
        <f t="shared" si="4"/>
        <v>500</v>
      </c>
      <c r="O13" s="66">
        <f t="shared" si="4"/>
        <v>500</v>
      </c>
      <c r="P13" s="50">
        <f>SUM(D13:O13)</f>
        <v>6000</v>
      </c>
      <c r="Q13" s="50"/>
    </row>
    <row r="14" spans="1:20" x14ac:dyDescent="0.4">
      <c r="A14" s="52" t="s">
        <v>152</v>
      </c>
      <c r="B14" s="50">
        <v>9000</v>
      </c>
      <c r="C14" s="52" t="s">
        <v>121</v>
      </c>
      <c r="D14" s="66">
        <f>$B$14</f>
        <v>9000</v>
      </c>
      <c r="E14" s="66">
        <f t="shared" ref="E14:O14" si="5">$B$14</f>
        <v>9000</v>
      </c>
      <c r="F14" s="66">
        <f t="shared" si="5"/>
        <v>9000</v>
      </c>
      <c r="G14" s="66">
        <f t="shared" si="5"/>
        <v>9000</v>
      </c>
      <c r="H14" s="66">
        <f t="shared" si="5"/>
        <v>9000</v>
      </c>
      <c r="I14" s="66">
        <f t="shared" si="5"/>
        <v>9000</v>
      </c>
      <c r="J14" s="66">
        <f t="shared" si="5"/>
        <v>9000</v>
      </c>
      <c r="K14" s="66">
        <f t="shared" si="5"/>
        <v>9000</v>
      </c>
      <c r="L14" s="66">
        <f t="shared" si="5"/>
        <v>9000</v>
      </c>
      <c r="M14" s="66">
        <f t="shared" si="5"/>
        <v>9000</v>
      </c>
      <c r="N14" s="66">
        <f t="shared" si="5"/>
        <v>9000</v>
      </c>
      <c r="O14" s="66">
        <f t="shared" si="5"/>
        <v>9000</v>
      </c>
      <c r="P14" s="50">
        <f t="shared" ref="P14:P19" si="6">SUM(D14:O14)</f>
        <v>108000</v>
      </c>
      <c r="Q14" s="50"/>
    </row>
    <row r="15" spans="1:20" x14ac:dyDescent="0.4">
      <c r="A15" s="52" t="s">
        <v>140</v>
      </c>
      <c r="B15" s="50">
        <v>27000</v>
      </c>
      <c r="C15" s="52" t="s">
        <v>141</v>
      </c>
      <c r="D15" s="50"/>
      <c r="E15" s="50"/>
      <c r="F15" s="50"/>
      <c r="G15" s="50"/>
      <c r="H15" s="50"/>
      <c r="I15" s="50">
        <f>B15</f>
        <v>27000</v>
      </c>
      <c r="J15" s="50"/>
      <c r="K15" s="50"/>
      <c r="L15" s="50"/>
      <c r="M15" s="50"/>
      <c r="N15" s="50"/>
      <c r="O15" s="50"/>
      <c r="P15" s="50">
        <f t="shared" si="6"/>
        <v>27000</v>
      </c>
      <c r="Q15" s="50"/>
    </row>
    <row r="16" spans="1:20" x14ac:dyDescent="0.4">
      <c r="A16" s="52" t="s">
        <v>100</v>
      </c>
      <c r="B16" s="50">
        <v>22022</v>
      </c>
      <c r="C16" s="52" t="s">
        <v>122</v>
      </c>
      <c r="D16" s="50">
        <f>B16</f>
        <v>22022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>
        <f t="shared" si="6"/>
        <v>22022</v>
      </c>
      <c r="Q16" s="50"/>
    </row>
    <row r="17" spans="1:18" x14ac:dyDescent="0.4">
      <c r="A17" s="52" t="s">
        <v>101</v>
      </c>
      <c r="B17" s="50">
        <v>10189</v>
      </c>
      <c r="C17" s="52" t="s">
        <v>122</v>
      </c>
      <c r="D17" s="50">
        <f>$B$17</f>
        <v>10189</v>
      </c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>
        <f t="shared" si="6"/>
        <v>10189</v>
      </c>
      <c r="Q17" s="50"/>
    </row>
    <row r="18" spans="1:18" x14ac:dyDescent="0.4">
      <c r="A18" s="52" t="s">
        <v>137</v>
      </c>
      <c r="B18" s="85">
        <v>16679.91</v>
      </c>
      <c r="C18" s="52" t="s">
        <v>122</v>
      </c>
      <c r="D18" s="50">
        <f>B18</f>
        <v>16679.91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>
        <f t="shared" si="6"/>
        <v>16679.91</v>
      </c>
      <c r="Q18" s="50"/>
    </row>
    <row r="19" spans="1:18" x14ac:dyDescent="0.4">
      <c r="A19" s="52" t="s">
        <v>61</v>
      </c>
      <c r="B19" s="87" t="s">
        <v>145</v>
      </c>
      <c r="C19" s="87"/>
      <c r="D19" s="66"/>
      <c r="E19" s="66"/>
      <c r="F19" s="66"/>
      <c r="G19" s="66"/>
      <c r="H19" s="66"/>
      <c r="I19" s="66"/>
      <c r="J19" s="50">
        <v>1000</v>
      </c>
      <c r="K19" s="50">
        <v>1000</v>
      </c>
      <c r="L19" s="50">
        <v>1000</v>
      </c>
      <c r="M19" s="50">
        <v>1000</v>
      </c>
      <c r="N19" s="50">
        <v>1000</v>
      </c>
      <c r="O19" s="50">
        <v>1000</v>
      </c>
      <c r="P19" s="50">
        <f t="shared" si="6"/>
        <v>6000</v>
      </c>
      <c r="Q19" s="50"/>
    </row>
    <row r="20" spans="1:18" x14ac:dyDescent="0.4">
      <c r="A20" s="52" t="s">
        <v>120</v>
      </c>
      <c r="B20" s="87" t="s">
        <v>146</v>
      </c>
      <c r="C20" s="87"/>
      <c r="D20" s="66"/>
      <c r="E20" s="66"/>
      <c r="F20" s="66"/>
      <c r="G20" s="66"/>
      <c r="H20" s="66"/>
      <c r="I20" s="66"/>
      <c r="J20" s="50">
        <v>2000</v>
      </c>
      <c r="K20" s="66"/>
      <c r="L20" s="66"/>
      <c r="M20" s="66"/>
      <c r="N20" s="66"/>
      <c r="O20" s="66"/>
      <c r="P20" s="52"/>
      <c r="Q20" s="52"/>
    </row>
    <row r="21" spans="1:18" x14ac:dyDescent="0.4">
      <c r="A21" s="52" t="s">
        <v>102</v>
      </c>
      <c r="B21" s="50">
        <v>50</v>
      </c>
      <c r="C21" s="52" t="s">
        <v>121</v>
      </c>
      <c r="D21" s="66">
        <f>B21</f>
        <v>50</v>
      </c>
      <c r="E21" s="66">
        <f>D21</f>
        <v>50</v>
      </c>
      <c r="F21" s="66">
        <f t="shared" ref="F21:O21" si="7">E21</f>
        <v>50</v>
      </c>
      <c r="G21" s="66">
        <f t="shared" si="7"/>
        <v>50</v>
      </c>
      <c r="H21" s="66">
        <f t="shared" si="7"/>
        <v>50</v>
      </c>
      <c r="I21" s="66">
        <f t="shared" si="7"/>
        <v>50</v>
      </c>
      <c r="J21" s="66">
        <f t="shared" si="7"/>
        <v>50</v>
      </c>
      <c r="K21" s="66">
        <f t="shared" si="7"/>
        <v>50</v>
      </c>
      <c r="L21" s="66">
        <f t="shared" si="7"/>
        <v>50</v>
      </c>
      <c r="M21" s="66">
        <f t="shared" si="7"/>
        <v>50</v>
      </c>
      <c r="N21" s="66">
        <f t="shared" si="7"/>
        <v>50</v>
      </c>
      <c r="O21" s="66">
        <f t="shared" si="7"/>
        <v>50</v>
      </c>
      <c r="P21" s="50">
        <f t="shared" ref="P21:P30" si="8">SUM(D21:O21)</f>
        <v>600</v>
      </c>
      <c r="Q21" s="50"/>
    </row>
    <row r="22" spans="1:18" x14ac:dyDescent="0.4">
      <c r="A22" s="52" t="s">
        <v>103</v>
      </c>
      <c r="B22" s="50">
        <v>100</v>
      </c>
      <c r="C22" s="52" t="s">
        <v>121</v>
      </c>
      <c r="D22" s="66">
        <f>$B$22</f>
        <v>100</v>
      </c>
      <c r="E22" s="66">
        <f t="shared" ref="E22:O22" si="9">$B$22</f>
        <v>100</v>
      </c>
      <c r="F22" s="66">
        <f t="shared" si="9"/>
        <v>100</v>
      </c>
      <c r="G22" s="66">
        <f t="shared" si="9"/>
        <v>100</v>
      </c>
      <c r="H22" s="66">
        <f t="shared" si="9"/>
        <v>100</v>
      </c>
      <c r="I22" s="66">
        <f t="shared" si="9"/>
        <v>100</v>
      </c>
      <c r="J22" s="66">
        <f t="shared" si="9"/>
        <v>100</v>
      </c>
      <c r="K22" s="66">
        <f t="shared" si="9"/>
        <v>100</v>
      </c>
      <c r="L22" s="66">
        <f t="shared" si="9"/>
        <v>100</v>
      </c>
      <c r="M22" s="66">
        <f t="shared" si="9"/>
        <v>100</v>
      </c>
      <c r="N22" s="66">
        <f t="shared" si="9"/>
        <v>100</v>
      </c>
      <c r="O22" s="66">
        <f t="shared" si="9"/>
        <v>100</v>
      </c>
      <c r="P22" s="50">
        <f t="shared" si="8"/>
        <v>1200</v>
      </c>
      <c r="Q22" s="50"/>
    </row>
    <row r="23" spans="1:18" x14ac:dyDescent="0.4">
      <c r="A23" s="52" t="s">
        <v>118</v>
      </c>
      <c r="B23" s="50">
        <v>5000</v>
      </c>
      <c r="C23" s="52" t="s">
        <v>138</v>
      </c>
      <c r="D23" s="50">
        <f>B23</f>
        <v>5000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50">
        <f t="shared" si="8"/>
        <v>5000</v>
      </c>
      <c r="Q23" s="50"/>
    </row>
    <row r="24" spans="1:18" x14ac:dyDescent="0.4">
      <c r="A24" s="52" t="s">
        <v>147</v>
      </c>
      <c r="B24" s="50">
        <v>15000</v>
      </c>
      <c r="C24" s="52" t="s">
        <v>138</v>
      </c>
      <c r="D24" s="50"/>
      <c r="E24" s="66"/>
      <c r="F24" s="66">
        <f>B24</f>
        <v>15000</v>
      </c>
      <c r="G24" s="66"/>
      <c r="H24" s="66"/>
      <c r="I24" s="66"/>
      <c r="J24" s="66"/>
      <c r="K24" s="66"/>
      <c r="L24" s="66"/>
      <c r="M24" s="66"/>
      <c r="N24" s="66"/>
      <c r="O24" s="66"/>
      <c r="P24" s="50">
        <f t="shared" si="8"/>
        <v>15000</v>
      </c>
      <c r="Q24" s="50"/>
    </row>
    <row r="25" spans="1:18" x14ac:dyDescent="0.4">
      <c r="A25" s="52" t="s">
        <v>148</v>
      </c>
      <c r="B25" s="50">
        <v>20000</v>
      </c>
      <c r="C25" s="52" t="s">
        <v>122</v>
      </c>
      <c r="D25" s="50">
        <f>$B$25/12</f>
        <v>1666.6666666666667</v>
      </c>
      <c r="E25" s="50">
        <f t="shared" ref="E25:O25" si="10">$B$25/12</f>
        <v>1666.6666666666667</v>
      </c>
      <c r="F25" s="50">
        <f t="shared" si="10"/>
        <v>1666.6666666666667</v>
      </c>
      <c r="G25" s="50">
        <f t="shared" si="10"/>
        <v>1666.6666666666667</v>
      </c>
      <c r="H25" s="50">
        <f t="shared" si="10"/>
        <v>1666.6666666666667</v>
      </c>
      <c r="I25" s="50">
        <f t="shared" si="10"/>
        <v>1666.6666666666667</v>
      </c>
      <c r="J25" s="50">
        <f t="shared" si="10"/>
        <v>1666.6666666666667</v>
      </c>
      <c r="K25" s="50">
        <f t="shared" si="10"/>
        <v>1666.6666666666667</v>
      </c>
      <c r="L25" s="50">
        <f t="shared" si="10"/>
        <v>1666.6666666666667</v>
      </c>
      <c r="M25" s="50">
        <f t="shared" si="10"/>
        <v>1666.6666666666667</v>
      </c>
      <c r="N25" s="50">
        <f t="shared" si="10"/>
        <v>1666.6666666666667</v>
      </c>
      <c r="O25" s="50">
        <f t="shared" si="10"/>
        <v>1666.6666666666667</v>
      </c>
      <c r="P25" s="50">
        <f t="shared" si="8"/>
        <v>20000</v>
      </c>
      <c r="Q25" s="50"/>
    </row>
    <row r="26" spans="1:18" x14ac:dyDescent="0.4">
      <c r="A26" s="52" t="s">
        <v>139</v>
      </c>
      <c r="B26" s="50">
        <v>23500</v>
      </c>
      <c r="C26" s="52"/>
      <c r="D26" s="50"/>
      <c r="E26" s="50">
        <v>23500</v>
      </c>
      <c r="G26" s="50"/>
      <c r="H26" s="50"/>
      <c r="I26" s="50"/>
      <c r="J26" s="50"/>
      <c r="K26" s="50"/>
      <c r="L26" s="50"/>
      <c r="M26" s="50"/>
      <c r="N26" s="50"/>
      <c r="O26" s="50"/>
      <c r="P26" s="50">
        <f t="shared" si="8"/>
        <v>23500</v>
      </c>
      <c r="Q26" s="50"/>
    </row>
    <row r="27" spans="1:18" x14ac:dyDescent="0.4">
      <c r="A27" s="52" t="s">
        <v>155</v>
      </c>
      <c r="B27" s="50"/>
      <c r="C27" s="52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</row>
    <row r="28" spans="1:18" x14ac:dyDescent="0.4">
      <c r="A28" s="80" t="s">
        <v>105</v>
      </c>
      <c r="B28" s="52"/>
      <c r="C28" s="52"/>
      <c r="D28" s="50">
        <f t="shared" ref="D28:O28" si="11">SUM(D11:D26)</f>
        <v>68807.576666666675</v>
      </c>
      <c r="E28" s="50">
        <f>SUM(E11:E26)</f>
        <v>38416.666666666664</v>
      </c>
      <c r="F28" s="50">
        <f t="shared" si="11"/>
        <v>36583.333333333336</v>
      </c>
      <c r="G28" s="50">
        <f t="shared" si="11"/>
        <v>21583.333333333336</v>
      </c>
      <c r="H28" s="50">
        <f t="shared" si="11"/>
        <v>21583.333333333336</v>
      </c>
      <c r="I28" s="50">
        <f t="shared" si="11"/>
        <v>48583.333333333336</v>
      </c>
      <c r="J28" s="50">
        <f t="shared" si="11"/>
        <v>24583.333333333336</v>
      </c>
      <c r="K28" s="50">
        <f t="shared" si="11"/>
        <v>22583.333333333336</v>
      </c>
      <c r="L28" s="50">
        <f t="shared" si="11"/>
        <v>22583.333333333336</v>
      </c>
      <c r="M28" s="50">
        <f t="shared" si="11"/>
        <v>22583.333333333336</v>
      </c>
      <c r="N28" s="50">
        <f t="shared" si="11"/>
        <v>22583.333333333336</v>
      </c>
      <c r="O28" s="50">
        <f t="shared" si="11"/>
        <v>22583.333333333336</v>
      </c>
      <c r="P28" s="50">
        <f t="shared" si="8"/>
        <v>373057.57666666666</v>
      </c>
      <c r="Q28" s="50"/>
      <c r="R28" s="43"/>
    </row>
    <row r="29" spans="1:18" x14ac:dyDescent="0.4">
      <c r="A29" s="52" t="s">
        <v>136</v>
      </c>
      <c r="B29" s="84">
        <v>0.1</v>
      </c>
      <c r="C29" s="52"/>
      <c r="D29" s="50">
        <f>D28*$B$29</f>
        <v>6880.7576666666682</v>
      </c>
      <c r="E29" s="50">
        <f t="shared" ref="E29:O29" si="12">E28*$B$29</f>
        <v>3841.6666666666665</v>
      </c>
      <c r="F29" s="50">
        <f t="shared" si="12"/>
        <v>3658.3333333333339</v>
      </c>
      <c r="G29" s="50">
        <f t="shared" si="12"/>
        <v>2158.3333333333335</v>
      </c>
      <c r="H29" s="50">
        <f t="shared" si="12"/>
        <v>2158.3333333333335</v>
      </c>
      <c r="I29" s="50">
        <f t="shared" si="12"/>
        <v>4858.3333333333339</v>
      </c>
      <c r="J29" s="50">
        <f t="shared" si="12"/>
        <v>2458.3333333333339</v>
      </c>
      <c r="K29" s="50">
        <f t="shared" si="12"/>
        <v>2258.3333333333335</v>
      </c>
      <c r="L29" s="50">
        <f t="shared" si="12"/>
        <v>2258.3333333333335</v>
      </c>
      <c r="M29" s="50">
        <f t="shared" si="12"/>
        <v>2258.3333333333335</v>
      </c>
      <c r="N29" s="50">
        <f t="shared" si="12"/>
        <v>2258.3333333333335</v>
      </c>
      <c r="O29" s="50">
        <f t="shared" si="12"/>
        <v>2258.3333333333335</v>
      </c>
      <c r="P29" s="50">
        <f t="shared" si="8"/>
        <v>37305.757666666672</v>
      </c>
      <c r="Q29" s="50"/>
    </row>
    <row r="30" spans="1:18" x14ac:dyDescent="0.4">
      <c r="A30" s="52" t="s">
        <v>104</v>
      </c>
      <c r="B30" s="52"/>
      <c r="C30" s="52"/>
      <c r="D30" s="50">
        <f t="shared" ref="D30:O30" si="13">D6+D7-D28-D29</f>
        <v>175585.30616666665</v>
      </c>
      <c r="E30" s="50">
        <f t="shared" si="13"/>
        <v>-40984.692833333327</v>
      </c>
      <c r="F30" s="50">
        <f t="shared" si="13"/>
        <v>-38968.02616666667</v>
      </c>
      <c r="G30" s="50">
        <f t="shared" si="13"/>
        <v>-22468.026166666667</v>
      </c>
      <c r="H30" s="50">
        <f t="shared" si="13"/>
        <v>-22468.026166666667</v>
      </c>
      <c r="I30" s="50">
        <f t="shared" si="13"/>
        <v>-52168.02616666667</v>
      </c>
      <c r="J30" s="50">
        <f t="shared" si="13"/>
        <v>-25768.02616666667</v>
      </c>
      <c r="K30" s="50">
        <f t="shared" si="13"/>
        <v>-23568.026166666667</v>
      </c>
      <c r="L30" s="50">
        <f t="shared" si="13"/>
        <v>-23568.026166666667</v>
      </c>
      <c r="M30" s="50">
        <f t="shared" si="13"/>
        <v>-23568.026166666667</v>
      </c>
      <c r="N30" s="50">
        <f t="shared" si="13"/>
        <v>-23568.026166666667</v>
      </c>
      <c r="O30" s="50">
        <f t="shared" si="13"/>
        <v>-23568.026166666667</v>
      </c>
      <c r="P30" s="50">
        <f t="shared" si="8"/>
        <v>-145079.64833333335</v>
      </c>
      <c r="Q30" s="50"/>
    </row>
    <row r="31" spans="1:18" x14ac:dyDescent="0.4">
      <c r="A31" s="52" t="s">
        <v>106</v>
      </c>
      <c r="B31" s="52"/>
      <c r="C31" s="52"/>
      <c r="D31" s="50">
        <f>D30</f>
        <v>175585.30616666665</v>
      </c>
      <c r="E31" s="50">
        <f>D31+E30</f>
        <v>134600.61333333331</v>
      </c>
      <c r="F31" s="50">
        <f t="shared" ref="F31:O31" si="14">E31+F30</f>
        <v>95632.587166666635</v>
      </c>
      <c r="G31" s="50">
        <f t="shared" si="14"/>
        <v>73164.560999999972</v>
      </c>
      <c r="H31" s="50">
        <f t="shared" si="14"/>
        <v>50696.53483333331</v>
      </c>
      <c r="I31" s="50">
        <f t="shared" si="14"/>
        <v>-1471.4913333333607</v>
      </c>
      <c r="J31" s="50">
        <f t="shared" si="14"/>
        <v>-27239.517500000031</v>
      </c>
      <c r="K31" s="50">
        <f t="shared" si="14"/>
        <v>-50807.543666666694</v>
      </c>
      <c r="L31" s="50">
        <f t="shared" si="14"/>
        <v>-74375.569833333357</v>
      </c>
      <c r="M31" s="50">
        <f t="shared" si="14"/>
        <v>-97943.59600000002</v>
      </c>
      <c r="N31" s="50">
        <f t="shared" si="14"/>
        <v>-121511.62216666668</v>
      </c>
      <c r="O31" s="50">
        <f t="shared" si="14"/>
        <v>-145079.64833333335</v>
      </c>
      <c r="P31" s="52"/>
      <c r="Q31" s="52"/>
    </row>
    <row r="32" spans="1:18" x14ac:dyDescent="0.4"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</row>
    <row r="33" spans="1:15" x14ac:dyDescent="0.4"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 t="s">
        <v>149</v>
      </c>
      <c r="O33" s="35">
        <f>B26+B24+B23</f>
        <v>43500</v>
      </c>
    </row>
    <row r="34" spans="1:15" x14ac:dyDescent="0.4">
      <c r="A34" s="52"/>
      <c r="N34" s="43" t="s">
        <v>136</v>
      </c>
      <c r="O34" s="43">
        <f>P29</f>
        <v>37305.757666666672</v>
      </c>
    </row>
    <row r="35" spans="1:15" x14ac:dyDescent="0.4">
      <c r="A35" s="52"/>
      <c r="N35" s="43" t="s">
        <v>150</v>
      </c>
      <c r="O35" s="43">
        <f>O31+O33+O34</f>
        <v>-64273.890666666673</v>
      </c>
    </row>
    <row r="38" spans="1:15" x14ac:dyDescent="0.4">
      <c r="B38" s="86"/>
      <c r="C38" s="86"/>
    </row>
    <row r="39" spans="1:15" x14ac:dyDescent="0.4">
      <c r="C39" s="86"/>
    </row>
    <row r="40" spans="1:15" x14ac:dyDescent="0.4">
      <c r="C40" s="86"/>
    </row>
  </sheetData>
  <mergeCells count="1">
    <mergeCell ref="B2:C2"/>
  </mergeCells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B121A-C1EA-46C8-AB4C-27532C6E05ED}">
  <dimension ref="A1:G34"/>
  <sheetViews>
    <sheetView topLeftCell="A11" workbookViewId="0">
      <selection activeCell="C16" sqref="C16"/>
    </sheetView>
  </sheetViews>
  <sheetFormatPr defaultRowHeight="14.6" x14ac:dyDescent="0.4"/>
  <cols>
    <col min="1" max="1" width="36" bestFit="1" customWidth="1"/>
    <col min="2" max="2" width="12.07421875" style="42" bestFit="1" customWidth="1"/>
    <col min="3" max="3" width="12.07421875" style="35" bestFit="1" customWidth="1"/>
    <col min="4" max="4" width="10.07421875" style="151" bestFit="1" customWidth="1"/>
    <col min="6" max="6" width="15.69140625" bestFit="1" customWidth="1"/>
    <col min="7" max="7" width="9.53515625" bestFit="1" customWidth="1"/>
  </cols>
  <sheetData>
    <row r="1" spans="1:7" x14ac:dyDescent="0.4">
      <c r="B1" s="42" t="s">
        <v>153</v>
      </c>
      <c r="C1" s="90" t="s">
        <v>154</v>
      </c>
    </row>
    <row r="2" spans="1:7" x14ac:dyDescent="0.4">
      <c r="B2" s="42" t="s">
        <v>142</v>
      </c>
      <c r="C2" s="42" t="s">
        <v>142</v>
      </c>
    </row>
    <row r="3" spans="1:7" x14ac:dyDescent="0.4">
      <c r="A3" t="str">
        <f>'Board budget FY22'!A3</f>
        <v>Cash Flow  by Month</v>
      </c>
      <c r="B3" s="42" t="s">
        <v>282</v>
      </c>
      <c r="C3" s="175" t="s">
        <v>282</v>
      </c>
    </row>
    <row r="5" spans="1:7" x14ac:dyDescent="0.4">
      <c r="A5" s="7" t="str">
        <f>'Board budget FY22'!A5</f>
        <v>Receipts</v>
      </c>
      <c r="F5" t="s">
        <v>129</v>
      </c>
      <c r="G5" s="35">
        <v>19143.5</v>
      </c>
    </row>
    <row r="6" spans="1:7" x14ac:dyDescent="0.4">
      <c r="A6" t="str">
        <f>'Board budget FY22'!A6</f>
        <v>Allocation from District's Net Cash Flow</v>
      </c>
      <c r="B6" s="90">
        <v>125000</v>
      </c>
      <c r="C6" s="35">
        <f>B6</f>
        <v>125000</v>
      </c>
      <c r="D6" s="152">
        <f>C6-B6</f>
        <v>0</v>
      </c>
      <c r="F6" t="s">
        <v>253</v>
      </c>
      <c r="G6" s="35">
        <v>19454</v>
      </c>
    </row>
    <row r="7" spans="1:7" x14ac:dyDescent="0.4">
      <c r="A7" t="str">
        <f>'Board budget FY22'!A7</f>
        <v>Dividend from LAIF investments</v>
      </c>
      <c r="B7" s="90">
        <v>5444.8933000000006</v>
      </c>
      <c r="C7" s="35">
        <v>5000</v>
      </c>
      <c r="D7" s="152">
        <f>C7-B7</f>
        <v>-444.89330000000064</v>
      </c>
      <c r="F7" t="s">
        <v>254</v>
      </c>
      <c r="G7" s="35">
        <v>27965.560000000005</v>
      </c>
    </row>
    <row r="8" spans="1:7" x14ac:dyDescent="0.4">
      <c r="A8" t="str">
        <f>'Board budget FY22'!A8</f>
        <v>Total Receipts</v>
      </c>
      <c r="B8" s="90">
        <f>B6+B7</f>
        <v>130444.8933</v>
      </c>
      <c r="C8" s="35">
        <f>+C6+C7</f>
        <v>130000</v>
      </c>
      <c r="D8" s="152">
        <f>C8-B8</f>
        <v>-444.89329999999609</v>
      </c>
      <c r="F8" t="s">
        <v>255</v>
      </c>
      <c r="G8" s="35">
        <v>3075</v>
      </c>
    </row>
    <row r="9" spans="1:7" x14ac:dyDescent="0.4">
      <c r="F9" t="s">
        <v>130</v>
      </c>
      <c r="G9" s="35">
        <v>4059</v>
      </c>
    </row>
    <row r="10" spans="1:7" x14ac:dyDescent="0.4">
      <c r="A10" s="7" t="str">
        <f>'Board budget FY22'!A10</f>
        <v>Expenses</v>
      </c>
      <c r="F10" t="s">
        <v>131</v>
      </c>
      <c r="G10" s="35">
        <v>9600</v>
      </c>
    </row>
    <row r="11" spans="1:7" x14ac:dyDescent="0.4">
      <c r="A11" t="str">
        <f>'Board budget FY22'!A11</f>
        <v>Open Management Position(s)</v>
      </c>
      <c r="B11" s="90">
        <f>'Board budget FY22'!C11</f>
        <v>80000</v>
      </c>
      <c r="C11" s="35">
        <f>[1]Sheet3!$I$17+[1]Sheet3!$I$18</f>
        <v>7421</v>
      </c>
      <c r="D11" s="152">
        <f t="shared" ref="D11:D33" si="0">C11-B11</f>
        <v>-72579</v>
      </c>
      <c r="F11" t="s">
        <v>256</v>
      </c>
      <c r="G11" s="35">
        <v>1326</v>
      </c>
    </row>
    <row r="12" spans="1:7" x14ac:dyDescent="0.4">
      <c r="A12" t="str">
        <f>'Board budget FY22'!A12</f>
        <v>Contributions to HSA</v>
      </c>
      <c r="B12" s="90">
        <f>3600*7</f>
        <v>25200</v>
      </c>
      <c r="C12" s="35">
        <f>14918</f>
        <v>14918</v>
      </c>
      <c r="D12" s="152">
        <f t="shared" si="0"/>
        <v>-10282</v>
      </c>
      <c r="F12" t="s">
        <v>257</v>
      </c>
      <c r="G12" s="35">
        <v>1855.78</v>
      </c>
    </row>
    <row r="13" spans="1:7" x14ac:dyDescent="0.4">
      <c r="A13" t="str">
        <f>'Board budget FY22'!A13</f>
        <v>Financial Services K. McKee &amp; Co.</v>
      </c>
      <c r="B13" s="90">
        <f>500*7</f>
        <v>3500</v>
      </c>
      <c r="C13" s="35">
        <v>1326</v>
      </c>
      <c r="D13" s="152">
        <f t="shared" si="0"/>
        <v>-2174</v>
      </c>
      <c r="F13" t="s">
        <v>258</v>
      </c>
      <c r="G13" s="35">
        <v>23500</v>
      </c>
    </row>
    <row r="14" spans="1:7" x14ac:dyDescent="0.4">
      <c r="A14" t="str">
        <f>'Board budget FY22'!A14</f>
        <v>Legal Services</v>
      </c>
      <c r="B14" s="90">
        <f>9000*7</f>
        <v>63000</v>
      </c>
      <c r="C14" s="35">
        <f>19144+19454</f>
        <v>38598</v>
      </c>
      <c r="D14" s="152">
        <f t="shared" si="0"/>
        <v>-24402</v>
      </c>
      <c r="F14" s="150" t="s">
        <v>259</v>
      </c>
      <c r="G14" s="35">
        <v>95</v>
      </c>
    </row>
    <row r="15" spans="1:7" x14ac:dyDescent="0.4">
      <c r="A15" t="str">
        <f>'Board budget FY22'!A15</f>
        <v>DZA audits</v>
      </c>
      <c r="B15" s="90">
        <f>'Board budget FY22'!I15</f>
        <v>27000</v>
      </c>
      <c r="C15" s="35">
        <v>9600</v>
      </c>
      <c r="D15" s="152">
        <f t="shared" si="0"/>
        <v>-17400</v>
      </c>
      <c r="F15" s="150" t="s">
        <v>260</v>
      </c>
      <c r="G15" s="35">
        <v>5996.52</v>
      </c>
    </row>
    <row r="16" spans="1:7" x14ac:dyDescent="0.4">
      <c r="A16" t="s">
        <v>263</v>
      </c>
      <c r="B16" s="90">
        <f>22022+849</f>
        <v>22871</v>
      </c>
      <c r="C16" s="35">
        <v>27966</v>
      </c>
      <c r="D16" s="152">
        <f t="shared" si="0"/>
        <v>5095</v>
      </c>
      <c r="F16" t="s">
        <v>264</v>
      </c>
      <c r="G16" s="35">
        <v>14917.5</v>
      </c>
    </row>
    <row r="17" spans="1:7" x14ac:dyDescent="0.4">
      <c r="A17" t="s">
        <v>275</v>
      </c>
      <c r="B17" s="90">
        <v>16679.91</v>
      </c>
      <c r="C17" s="35">
        <f>B17</f>
        <v>16679.91</v>
      </c>
      <c r="D17" s="152">
        <f t="shared" si="0"/>
        <v>0</v>
      </c>
      <c r="F17" s="150" t="s">
        <v>135</v>
      </c>
      <c r="G17" s="35">
        <v>2500</v>
      </c>
    </row>
    <row r="18" spans="1:7" x14ac:dyDescent="0.4">
      <c r="A18" t="str">
        <f>'Board budget FY22'!A19</f>
        <v>Utilities</v>
      </c>
      <c r="B18" s="90">
        <f>'Board budget FY22'!J19*7</f>
        <v>7000</v>
      </c>
      <c r="C18" s="35">
        <v>0</v>
      </c>
      <c r="D18" s="152">
        <f t="shared" si="0"/>
        <v>-7000</v>
      </c>
      <c r="F18" t="s">
        <v>265</v>
      </c>
      <c r="G18" s="35">
        <v>1605</v>
      </c>
    </row>
    <row r="19" spans="1:7" x14ac:dyDescent="0.4">
      <c r="A19" t="str">
        <f>'Board budget FY22'!A20</f>
        <v>Property Insurance for 775 River Drive</v>
      </c>
      <c r="B19" s="90">
        <v>2000</v>
      </c>
      <c r="C19" s="35">
        <v>0</v>
      </c>
      <c r="D19" s="152">
        <f t="shared" si="0"/>
        <v>-2000</v>
      </c>
      <c r="F19" s="150" t="s">
        <v>127</v>
      </c>
      <c r="G19" s="35">
        <v>5816</v>
      </c>
    </row>
    <row r="20" spans="1:7" x14ac:dyDescent="0.4">
      <c r="A20" t="str">
        <f>'Board budget FY22'!A21</f>
        <v>Office Expenses</v>
      </c>
      <c r="B20" s="90">
        <f>50*7</f>
        <v>350</v>
      </c>
      <c r="D20" s="152">
        <f t="shared" si="0"/>
        <v>-350</v>
      </c>
      <c r="F20" s="150" t="s">
        <v>261</v>
      </c>
      <c r="G20" s="35">
        <v>14400</v>
      </c>
    </row>
    <row r="21" spans="1:7" x14ac:dyDescent="0.4">
      <c r="A21" t="str">
        <f>'Board budget FY22'!A22</f>
        <v>Phone and Internet</v>
      </c>
      <c r="B21" s="90">
        <f>7*100</f>
        <v>700</v>
      </c>
      <c r="D21" s="152">
        <f t="shared" si="0"/>
        <v>-700</v>
      </c>
      <c r="F21" s="150" t="s">
        <v>262</v>
      </c>
      <c r="G21" s="43">
        <f>SUM(G5:G20)-G9-G20</f>
        <v>136849.85999999999</v>
      </c>
    </row>
    <row r="22" spans="1:7" x14ac:dyDescent="0.4">
      <c r="A22" t="str">
        <f>'Board budget FY22'!A23</f>
        <v>Hospital Anniversary activities</v>
      </c>
      <c r="B22" s="90">
        <v>5000</v>
      </c>
      <c r="C22" s="35">
        <f>527.14+200+150+3300+500</f>
        <v>4677.1400000000003</v>
      </c>
      <c r="D22" s="152">
        <f t="shared" si="0"/>
        <v>-322.85999999999967</v>
      </c>
    </row>
    <row r="23" spans="1:7" x14ac:dyDescent="0.4">
      <c r="A23" t="str">
        <f>'Board budget FY22'!A24</f>
        <v>Refurbishment of Neva Canon Room</v>
      </c>
      <c r="B23" s="90">
        <f>'Board budget FY22'!B24</f>
        <v>15000</v>
      </c>
      <c r="C23" s="35">
        <v>95</v>
      </c>
      <c r="D23" s="152">
        <f t="shared" si="0"/>
        <v>-14905</v>
      </c>
    </row>
    <row r="24" spans="1:7" x14ac:dyDescent="0.4">
      <c r="A24" t="str">
        <f>'Board budget FY22'!A25</f>
        <v>Potential New Programs</v>
      </c>
      <c r="B24" s="90">
        <f>'Board budget FY22'!B25</f>
        <v>20000</v>
      </c>
      <c r="C24" s="35">
        <v>0</v>
      </c>
      <c r="D24" s="152">
        <f t="shared" si="0"/>
        <v>-20000</v>
      </c>
    </row>
    <row r="25" spans="1:7" x14ac:dyDescent="0.4">
      <c r="A25" t="str">
        <f>'Board budget FY22'!A26</f>
        <v>CARES Audit</v>
      </c>
      <c r="B25" s="90">
        <f>'Board budget FY22'!B26</f>
        <v>23500</v>
      </c>
      <c r="C25" s="35">
        <f>G13</f>
        <v>23500</v>
      </c>
      <c r="D25" s="152">
        <f t="shared" si="0"/>
        <v>0</v>
      </c>
    </row>
    <row r="26" spans="1:7" x14ac:dyDescent="0.4">
      <c r="A26" t="str">
        <f>'Board budget FY22'!A27</f>
        <v>Other (including memberships)</v>
      </c>
      <c r="B26" s="90">
        <v>0</v>
      </c>
      <c r="C26" s="35">
        <v>0</v>
      </c>
      <c r="D26" s="152">
        <f t="shared" si="0"/>
        <v>0</v>
      </c>
    </row>
    <row r="27" spans="1:7" x14ac:dyDescent="0.4">
      <c r="A27" t="str">
        <f>'Board budget FY22'!A28</f>
        <v>Sum of Expenses</v>
      </c>
      <c r="B27" s="35">
        <f>SUM(B11:B26)</f>
        <v>311800.91000000003</v>
      </c>
      <c r="C27" s="35">
        <f>SUM(C11:C26)</f>
        <v>144781.04999999999</v>
      </c>
      <c r="D27" s="152">
        <f t="shared" si="0"/>
        <v>-167019.86000000004</v>
      </c>
    </row>
    <row r="28" spans="1:7" x14ac:dyDescent="0.4">
      <c r="A28" t="str">
        <f>'Board budget FY22'!A29</f>
        <v>Contingency</v>
      </c>
      <c r="B28" s="90">
        <f>SUM('Board budget FY22'!D29:J29)</f>
        <v>26014.091</v>
      </c>
      <c r="C28" s="35">
        <v>0</v>
      </c>
      <c r="D28" s="152">
        <f t="shared" si="0"/>
        <v>-26014.091</v>
      </c>
    </row>
    <row r="29" spans="1:7" x14ac:dyDescent="0.4">
      <c r="A29" s="36" t="s">
        <v>135</v>
      </c>
      <c r="B29" s="89">
        <v>0</v>
      </c>
      <c r="C29" s="35">
        <f>G17</f>
        <v>2500</v>
      </c>
      <c r="D29" s="152">
        <f>C29-B29</f>
        <v>2500</v>
      </c>
    </row>
    <row r="30" spans="1:7" x14ac:dyDescent="0.4">
      <c r="A30" s="36" t="s">
        <v>133</v>
      </c>
      <c r="B30" s="89">
        <v>0</v>
      </c>
      <c r="C30" s="35">
        <f>G16</f>
        <v>14917.5</v>
      </c>
      <c r="D30" s="152">
        <f>C30-B30</f>
        <v>14917.5</v>
      </c>
    </row>
    <row r="31" spans="1:7" x14ac:dyDescent="0.4">
      <c r="A31" s="36" t="s">
        <v>266</v>
      </c>
      <c r="B31" s="89">
        <v>0</v>
      </c>
      <c r="C31" s="35">
        <f>G8</f>
        <v>3075</v>
      </c>
      <c r="D31" s="152">
        <f>C31-B31</f>
        <v>3075</v>
      </c>
    </row>
    <row r="32" spans="1:7" x14ac:dyDescent="0.4">
      <c r="A32" t="str">
        <f>'Board budget FY22'!A30</f>
        <v>Net Operating Balance</v>
      </c>
      <c r="B32" s="90">
        <f>B8-B27-B28</f>
        <v>-207370.10770000005</v>
      </c>
      <c r="C32" s="90">
        <f>C8-C27-C28</f>
        <v>-14781.049999999988</v>
      </c>
      <c r="D32" s="153">
        <f t="shared" si="0"/>
        <v>192589.05770000006</v>
      </c>
    </row>
    <row r="33" spans="1:4" x14ac:dyDescent="0.4">
      <c r="A33" t="str">
        <f>'Board budget FY22'!A31</f>
        <v>Cash Flow</v>
      </c>
      <c r="B33" s="90">
        <f>B8-B27-SUM(B29:B31)</f>
        <v>-181356.01670000004</v>
      </c>
      <c r="C33" s="90">
        <f>C8-C27-SUM(C29:C31)</f>
        <v>-35273.549999999988</v>
      </c>
      <c r="D33" s="153">
        <f t="shared" si="0"/>
        <v>146082.46670000005</v>
      </c>
    </row>
    <row r="34" spans="1:4" x14ac:dyDescent="0.4">
      <c r="B34" s="90"/>
    </row>
  </sheetData>
  <conditionalFormatting sqref="D1:D1048576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28686-3B34-4458-BEA7-6193BF949D6E}">
  <dimension ref="A1:G43"/>
  <sheetViews>
    <sheetView zoomScale="85" zoomScaleNormal="85" workbookViewId="0">
      <selection activeCell="B4" sqref="B4"/>
    </sheetView>
  </sheetViews>
  <sheetFormatPr defaultRowHeight="14.6" x14ac:dyDescent="0.4"/>
  <cols>
    <col min="1" max="1" width="39.84375" style="52" bestFit="1" customWidth="1"/>
    <col min="2" max="2" width="13.69140625" style="52" bestFit="1" customWidth="1"/>
    <col min="3" max="3" width="11" bestFit="1" customWidth="1"/>
    <col min="4" max="4" width="13.69140625" bestFit="1" customWidth="1"/>
    <col min="5" max="5" width="9.53515625" bestFit="1" customWidth="1"/>
    <col min="6" max="6" width="22.53515625" bestFit="1" customWidth="1"/>
    <col min="7" max="7" width="13.69140625" style="35" bestFit="1" customWidth="1"/>
  </cols>
  <sheetData>
    <row r="1" spans="1:7" ht="20.6" x14ac:dyDescent="0.55000000000000004">
      <c r="A1" s="139" t="s">
        <v>208</v>
      </c>
      <c r="B1" s="140" t="s">
        <v>220</v>
      </c>
      <c r="F1" s="180" t="s">
        <v>219</v>
      </c>
      <c r="G1" s="180"/>
    </row>
    <row r="2" spans="1:7" ht="11.15" customHeight="1" x14ac:dyDescent="0.4">
      <c r="F2" s="42"/>
      <c r="G2" s="133"/>
    </row>
    <row r="3" spans="1:7" x14ac:dyDescent="0.4">
      <c r="A3" s="63" t="s">
        <v>115</v>
      </c>
      <c r="D3" s="45"/>
      <c r="E3" s="45"/>
      <c r="F3" s="108" t="s">
        <v>225</v>
      </c>
    </row>
    <row r="4" spans="1:7" x14ac:dyDescent="0.4">
      <c r="A4" s="52" t="s">
        <v>116</v>
      </c>
      <c r="B4" s="50">
        <v>3473565</v>
      </c>
      <c r="D4" s="49"/>
      <c r="E4" s="45"/>
      <c r="F4" s="45" t="s">
        <v>221</v>
      </c>
      <c r="G4" s="35">
        <f>B8</f>
        <v>10611903.369999999</v>
      </c>
    </row>
    <row r="5" spans="1:7" x14ac:dyDescent="0.4">
      <c r="A5" s="52" t="s">
        <v>186</v>
      </c>
      <c r="B5" s="50">
        <f>6764896.47-1030000+876000</f>
        <v>6610896.4699999997</v>
      </c>
      <c r="D5" s="49"/>
      <c r="E5" s="45"/>
      <c r="F5" s="45" t="s">
        <v>222</v>
      </c>
      <c r="G5" s="35">
        <f>B16</f>
        <v>2812500</v>
      </c>
    </row>
    <row r="6" spans="1:7" x14ac:dyDescent="0.4">
      <c r="A6" s="52" t="s">
        <v>170</v>
      </c>
      <c r="B6" s="50">
        <f>279310+73858</f>
        <v>353168</v>
      </c>
      <c r="D6" s="48"/>
      <c r="E6" s="45"/>
      <c r="F6" s="45" t="s">
        <v>125</v>
      </c>
      <c r="G6" s="35">
        <f>B24</f>
        <v>3823087</v>
      </c>
    </row>
    <row r="7" spans="1:7" x14ac:dyDescent="0.4">
      <c r="A7" s="52" t="s">
        <v>187</v>
      </c>
      <c r="B7" s="50">
        <f>174273.9</f>
        <v>174273.9</v>
      </c>
      <c r="D7" s="45"/>
      <c r="E7" s="45"/>
      <c r="F7" s="134" t="s">
        <v>228</v>
      </c>
      <c r="G7" s="35">
        <f>SUM(G4:G6)</f>
        <v>17247490.369999997</v>
      </c>
    </row>
    <row r="8" spans="1:7" x14ac:dyDescent="0.4">
      <c r="A8" s="53" t="s">
        <v>124</v>
      </c>
      <c r="B8" s="51">
        <f>SUM(B4:B7)</f>
        <v>10611903.369999999</v>
      </c>
      <c r="D8" s="45"/>
      <c r="E8" s="45"/>
      <c r="F8" s="45" t="s">
        <v>226</v>
      </c>
      <c r="G8" s="35">
        <v>1000000</v>
      </c>
    </row>
    <row r="9" spans="1:7" x14ac:dyDescent="0.4">
      <c r="A9" s="53"/>
      <c r="B9" s="51"/>
      <c r="D9" s="45"/>
      <c r="E9" s="45"/>
      <c r="F9" s="45" t="s">
        <v>22</v>
      </c>
      <c r="G9" s="35">
        <v>500000</v>
      </c>
    </row>
    <row r="10" spans="1:7" x14ac:dyDescent="0.4">
      <c r="A10" s="141" t="s">
        <v>172</v>
      </c>
      <c r="D10" s="45"/>
      <c r="E10" s="45"/>
      <c r="F10" s="134" t="s">
        <v>227</v>
      </c>
      <c r="G10" s="35">
        <f>SUM(G8:G9)</f>
        <v>1500000</v>
      </c>
    </row>
    <row r="11" spans="1:7" x14ac:dyDescent="0.4">
      <c r="A11" s="142" t="s">
        <v>185</v>
      </c>
      <c r="B11" s="50">
        <v>1100000</v>
      </c>
      <c r="D11" s="45"/>
      <c r="E11" s="45"/>
      <c r="F11" s="134" t="s">
        <v>31</v>
      </c>
      <c r="G11" s="35">
        <f>G10+G7</f>
        <v>18747490.369999997</v>
      </c>
    </row>
    <row r="12" spans="1:7" x14ac:dyDescent="0.4">
      <c r="A12" s="142" t="s">
        <v>173</v>
      </c>
      <c r="B12" s="50">
        <v>500000</v>
      </c>
      <c r="D12" s="45"/>
      <c r="E12" s="45"/>
      <c r="F12" s="134"/>
    </row>
    <row r="13" spans="1:7" x14ac:dyDescent="0.4">
      <c r="A13" s="142" t="s">
        <v>214</v>
      </c>
      <c r="B13" s="50">
        <v>0</v>
      </c>
      <c r="D13" s="46"/>
      <c r="E13" s="46"/>
      <c r="F13" s="132" t="s">
        <v>217</v>
      </c>
    </row>
    <row r="14" spans="1:7" x14ac:dyDescent="0.4">
      <c r="A14" s="142" t="s">
        <v>211</v>
      </c>
      <c r="B14" s="50">
        <f>'District Budget FY22 updated'!B8/2</f>
        <v>412500</v>
      </c>
      <c r="F14" s="45" t="s">
        <v>32</v>
      </c>
      <c r="G14" s="35">
        <f>B30+B31</f>
        <v>3360000</v>
      </c>
    </row>
    <row r="15" spans="1:7" x14ac:dyDescent="0.4">
      <c r="A15" s="142" t="s">
        <v>212</v>
      </c>
      <c r="B15" s="50">
        <f>'District Budget FY22 updated'!B7/2</f>
        <v>800000</v>
      </c>
      <c r="F15" s="45" t="s">
        <v>207</v>
      </c>
      <c r="G15" s="35">
        <f>SUM(B36:B39)</f>
        <v>521763.12</v>
      </c>
    </row>
    <row r="16" spans="1:7" x14ac:dyDescent="0.4">
      <c r="A16" s="143" t="s">
        <v>124</v>
      </c>
      <c r="B16" s="51">
        <f>SUM(B11:B15)</f>
        <v>2812500</v>
      </c>
      <c r="F16" s="45" t="s">
        <v>223</v>
      </c>
      <c r="G16" s="35">
        <f>SUM(Loans!B12:E12)-G15</f>
        <v>4884158.88</v>
      </c>
    </row>
    <row r="17" spans="1:7" x14ac:dyDescent="0.4">
      <c r="A17" s="143"/>
      <c r="B17" s="51"/>
      <c r="F17" s="134" t="s">
        <v>224</v>
      </c>
      <c r="G17" s="35">
        <f>SUM(G14:G16)</f>
        <v>8765922</v>
      </c>
    </row>
    <row r="18" spans="1:7" x14ac:dyDescent="0.4">
      <c r="A18" s="143" t="s">
        <v>210</v>
      </c>
      <c r="B18" s="51">
        <f>B16+B8</f>
        <v>13424403.369999999</v>
      </c>
      <c r="F18" s="45"/>
    </row>
    <row r="19" spans="1:7" x14ac:dyDescent="0.4">
      <c r="A19" s="53"/>
      <c r="B19" s="51"/>
      <c r="F19" s="134" t="s">
        <v>229</v>
      </c>
      <c r="G19" s="35">
        <f>G11-G17</f>
        <v>9981568.3699999973</v>
      </c>
    </row>
    <row r="20" spans="1:7" x14ac:dyDescent="0.4">
      <c r="A20" s="51" t="s">
        <v>125</v>
      </c>
      <c r="B20" s="50"/>
      <c r="F20" s="45"/>
    </row>
    <row r="21" spans="1:7" x14ac:dyDescent="0.4">
      <c r="A21" s="142" t="s">
        <v>171</v>
      </c>
      <c r="B21" s="105">
        <v>230000</v>
      </c>
      <c r="F21" s="46"/>
    </row>
    <row r="22" spans="1:7" x14ac:dyDescent="0.4">
      <c r="A22" s="142" t="s">
        <v>126</v>
      </c>
      <c r="B22" s="50">
        <v>2060000</v>
      </c>
      <c r="C22" s="43"/>
    </row>
    <row r="23" spans="1:7" x14ac:dyDescent="0.4">
      <c r="A23" s="142" t="s">
        <v>285</v>
      </c>
      <c r="B23" s="50">
        <v>1533087</v>
      </c>
    </row>
    <row r="24" spans="1:7" x14ac:dyDescent="0.4">
      <c r="A24" s="143" t="s">
        <v>124</v>
      </c>
      <c r="B24" s="51">
        <f>SUM(B21:B23)</f>
        <v>3823087</v>
      </c>
      <c r="D24" s="43"/>
    </row>
    <row r="25" spans="1:7" x14ac:dyDescent="0.4">
      <c r="D25" s="43"/>
    </row>
    <row r="26" spans="1:7" x14ac:dyDescent="0.4">
      <c r="A26" s="142"/>
      <c r="B26" s="50"/>
    </row>
    <row r="27" spans="1:7" ht="20.6" x14ac:dyDescent="0.55000000000000004">
      <c r="A27" s="144" t="s">
        <v>207</v>
      </c>
      <c r="B27" s="50"/>
    </row>
    <row r="28" spans="1:7" x14ac:dyDescent="0.4">
      <c r="A28" s="142"/>
      <c r="B28" s="50"/>
    </row>
    <row r="29" spans="1:7" x14ac:dyDescent="0.4">
      <c r="A29" s="145" t="s">
        <v>32</v>
      </c>
    </row>
    <row r="30" spans="1:7" x14ac:dyDescent="0.4">
      <c r="A30" s="142" t="s">
        <v>184</v>
      </c>
      <c r="B30" s="66">
        <f>B22</f>
        <v>2060000</v>
      </c>
    </row>
    <row r="31" spans="1:7" x14ac:dyDescent="0.4">
      <c r="A31" s="52" t="s">
        <v>218</v>
      </c>
      <c r="B31" s="50">
        <f>5700000-4400000</f>
        <v>1300000</v>
      </c>
    </row>
    <row r="32" spans="1:7" x14ac:dyDescent="0.4">
      <c r="A32" s="52" t="s">
        <v>243</v>
      </c>
      <c r="B32" s="105">
        <v>216342</v>
      </c>
    </row>
    <row r="33" spans="1:2" x14ac:dyDescent="0.4">
      <c r="A33" s="52" t="s">
        <v>244</v>
      </c>
      <c r="B33" s="35">
        <f>'District Budget FY22 updated'!F27</f>
        <v>1533086.96</v>
      </c>
    </row>
    <row r="35" spans="1:2" x14ac:dyDescent="0.4">
      <c r="A35" s="63" t="s">
        <v>206</v>
      </c>
    </row>
    <row r="36" spans="1:2" x14ac:dyDescent="0.4">
      <c r="A36" s="52" t="s">
        <v>188</v>
      </c>
      <c r="B36" s="50">
        <f>6*Loans!B9</f>
        <v>82812.12</v>
      </c>
    </row>
    <row r="37" spans="1:2" x14ac:dyDescent="0.4">
      <c r="A37" s="52" t="s">
        <v>132</v>
      </c>
      <c r="B37" s="50">
        <f>Loans!C12</f>
        <v>51451</v>
      </c>
    </row>
    <row r="38" spans="1:2" x14ac:dyDescent="0.4">
      <c r="A38" s="52" t="str">
        <f>Loans!D3</f>
        <v>UHC note</v>
      </c>
      <c r="B38" s="50">
        <f>Loans!D10/2</f>
        <v>105000</v>
      </c>
    </row>
    <row r="39" spans="1:2" x14ac:dyDescent="0.4">
      <c r="A39" s="52" t="str">
        <f>Loans!E3</f>
        <v>Revenue Bonds - 2016</v>
      </c>
      <c r="B39" s="50">
        <f>Loans!E10/2</f>
        <v>282500</v>
      </c>
    </row>
    <row r="41" spans="1:2" x14ac:dyDescent="0.4">
      <c r="A41" s="53" t="s">
        <v>209</v>
      </c>
      <c r="B41" s="146">
        <f>SUM(B30:B39)</f>
        <v>5631192.0800000001</v>
      </c>
    </row>
    <row r="43" spans="1:2" x14ac:dyDescent="0.4">
      <c r="A43" s="53" t="s">
        <v>213</v>
      </c>
      <c r="B43" s="146">
        <f>B18-B41+B24</f>
        <v>11616298.289999999</v>
      </c>
    </row>
  </sheetData>
  <mergeCells count="1">
    <mergeCell ref="F1:G1"/>
  </mergeCells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5E20C-8C84-4372-8252-1608F1F7590F}">
  <dimension ref="A2:Q16"/>
  <sheetViews>
    <sheetView workbookViewId="0">
      <selection activeCell="J5" sqref="J5"/>
    </sheetView>
  </sheetViews>
  <sheetFormatPr defaultRowHeight="14.6" x14ac:dyDescent="0.4"/>
  <cols>
    <col min="1" max="1" width="19.3046875" bestFit="1" customWidth="1"/>
    <col min="2" max="2" width="11.07421875" bestFit="1" customWidth="1"/>
    <col min="3" max="3" width="12.07421875" bestFit="1" customWidth="1"/>
    <col min="4" max="4" width="11" bestFit="1" customWidth="1"/>
    <col min="5" max="11" width="9.53515625" bestFit="1" customWidth="1"/>
    <col min="12" max="12" width="6.69140625" customWidth="1"/>
    <col min="14" max="14" width="12.07421875" bestFit="1" customWidth="1"/>
  </cols>
  <sheetData>
    <row r="2" spans="1:17" x14ac:dyDescent="0.4">
      <c r="B2" t="s">
        <v>215</v>
      </c>
      <c r="C2" s="42" t="s">
        <v>216</v>
      </c>
      <c r="D2" s="42">
        <v>2022</v>
      </c>
      <c r="E2" s="42">
        <f>D2+1</f>
        <v>2023</v>
      </c>
      <c r="F2" s="42">
        <f t="shared" ref="F2:L2" si="0">E2+1</f>
        <v>2024</v>
      </c>
      <c r="G2" s="42">
        <f t="shared" si="0"/>
        <v>2025</v>
      </c>
      <c r="H2" s="42">
        <f t="shared" si="0"/>
        <v>2026</v>
      </c>
      <c r="I2" s="42">
        <f t="shared" si="0"/>
        <v>2027</v>
      </c>
      <c r="J2" s="42">
        <f t="shared" si="0"/>
        <v>2028</v>
      </c>
      <c r="K2" s="42">
        <f t="shared" si="0"/>
        <v>2029</v>
      </c>
      <c r="L2" s="42">
        <f t="shared" si="0"/>
        <v>2030</v>
      </c>
      <c r="M2" s="42"/>
      <c r="N2" s="42"/>
      <c r="O2" s="42"/>
      <c r="P2" s="42"/>
      <c r="Q2" s="42"/>
    </row>
    <row r="3" spans="1:17" x14ac:dyDescent="0.4">
      <c r="A3" s="112" t="s">
        <v>134</v>
      </c>
      <c r="B3" s="131">
        <f>Loans!C9</f>
        <v>27672</v>
      </c>
      <c r="C3" s="131">
        <f>3*B3</f>
        <v>83016</v>
      </c>
      <c r="D3" s="43">
        <f>C3</f>
        <v>83016</v>
      </c>
    </row>
    <row r="4" spans="1:17" x14ac:dyDescent="0.4">
      <c r="A4" s="108" t="s">
        <v>193</v>
      </c>
      <c r="B4" s="90"/>
      <c r="C4" s="90">
        <f>Loans!D10</f>
        <v>210000</v>
      </c>
      <c r="D4" s="90">
        <f>C4</f>
        <v>210000</v>
      </c>
      <c r="E4" s="90">
        <f>D4</f>
        <v>210000</v>
      </c>
      <c r="F4" s="43">
        <f>E4*9/12</f>
        <v>157500</v>
      </c>
    </row>
    <row r="5" spans="1:17" x14ac:dyDescent="0.4">
      <c r="A5" s="108" t="s">
        <v>174</v>
      </c>
      <c r="B5" s="90">
        <f>Loans!B9</f>
        <v>13802.02</v>
      </c>
      <c r="C5" s="90">
        <f>12*B5</f>
        <v>165624.24</v>
      </c>
      <c r="D5" s="43">
        <f>C5</f>
        <v>165624.24</v>
      </c>
      <c r="E5" s="43">
        <f t="shared" ref="E5:J5" si="1">D5</f>
        <v>165624.24</v>
      </c>
      <c r="F5" s="43">
        <f t="shared" si="1"/>
        <v>165624.24</v>
      </c>
      <c r="G5" s="43">
        <f t="shared" si="1"/>
        <v>165624.24</v>
      </c>
      <c r="H5" s="43">
        <f t="shared" si="1"/>
        <v>165624.24</v>
      </c>
      <c r="I5" s="43">
        <f t="shared" si="1"/>
        <v>165624.24</v>
      </c>
      <c r="J5" s="43">
        <f t="shared" si="1"/>
        <v>165624.24</v>
      </c>
    </row>
    <row r="6" spans="1:17" x14ac:dyDescent="0.4">
      <c r="A6" s="108" t="s">
        <v>189</v>
      </c>
      <c r="B6" s="90"/>
      <c r="C6" s="90">
        <f>Loans!E10</f>
        <v>565000</v>
      </c>
      <c r="D6" s="43">
        <f>C6</f>
        <v>565000</v>
      </c>
      <c r="E6" s="43">
        <f t="shared" ref="E6:K6" si="2">D6</f>
        <v>565000</v>
      </c>
      <c r="F6" s="43">
        <f t="shared" si="2"/>
        <v>565000</v>
      </c>
      <c r="G6" s="43">
        <f t="shared" si="2"/>
        <v>565000</v>
      </c>
      <c r="H6" s="43">
        <f t="shared" si="2"/>
        <v>565000</v>
      </c>
      <c r="I6" s="43">
        <f t="shared" si="2"/>
        <v>565000</v>
      </c>
      <c r="J6" s="43">
        <f t="shared" si="2"/>
        <v>565000</v>
      </c>
      <c r="K6" s="43">
        <f t="shared" si="2"/>
        <v>565000</v>
      </c>
      <c r="O6">
        <v>5745000</v>
      </c>
    </row>
    <row r="7" spans="1:17" x14ac:dyDescent="0.4">
      <c r="D7" s="43">
        <f>SUM(D3:D6)</f>
        <v>1023640.24</v>
      </c>
      <c r="E7" s="43">
        <f t="shared" ref="E7:K7" si="3">SUM(E3:E6)</f>
        <v>940624.24</v>
      </c>
      <c r="F7" s="43">
        <f t="shared" si="3"/>
        <v>888124.24</v>
      </c>
      <c r="G7" s="43">
        <f t="shared" si="3"/>
        <v>730624.24</v>
      </c>
      <c r="H7" s="43">
        <f t="shared" si="3"/>
        <v>730624.24</v>
      </c>
      <c r="I7" s="43">
        <f t="shared" si="3"/>
        <v>730624.24</v>
      </c>
      <c r="J7" s="43">
        <f t="shared" si="3"/>
        <v>730624.24</v>
      </c>
      <c r="K7" s="43">
        <f t="shared" si="3"/>
        <v>565000</v>
      </c>
      <c r="O7">
        <f>(303000+350000+360000+625000+400000)</f>
        <v>2038000</v>
      </c>
    </row>
    <row r="8" spans="1:17" x14ac:dyDescent="0.4">
      <c r="O8">
        <f>O6-O7</f>
        <v>3707000</v>
      </c>
    </row>
    <row r="9" spans="1:17" x14ac:dyDescent="0.4">
      <c r="O9">
        <f>O8-410000</f>
        <v>3297000</v>
      </c>
    </row>
    <row r="11" spans="1:17" x14ac:dyDescent="0.4">
      <c r="N11" s="35">
        <v>77750</v>
      </c>
    </row>
    <row r="12" spans="1:17" x14ac:dyDescent="0.4">
      <c r="N12" s="35">
        <v>483750</v>
      </c>
    </row>
    <row r="14" spans="1:17" x14ac:dyDescent="0.4">
      <c r="N14">
        <v>420000</v>
      </c>
    </row>
    <row r="15" spans="1:17" x14ac:dyDescent="0.4">
      <c r="N15">
        <v>71600</v>
      </c>
    </row>
    <row r="16" spans="1:17" x14ac:dyDescent="0.4">
      <c r="N16">
        <f>N14+N15</f>
        <v>491600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Board budget actual 1HFY22</vt:lpstr>
      <vt:lpstr>Board budget FY22 (2)</vt:lpstr>
      <vt:lpstr>District Budget FY22 updated</vt:lpstr>
      <vt:lpstr>10-year cash flow</vt:lpstr>
      <vt:lpstr>District Budget FY22</vt:lpstr>
      <vt:lpstr>Board budget FY22</vt:lpstr>
      <vt:lpstr>Act vs Bud</vt:lpstr>
      <vt:lpstr>Cash Assets</vt:lpstr>
      <vt:lpstr>Debt Service</vt:lpstr>
      <vt:lpstr>Loans</vt:lpstr>
      <vt:lpstr>Balance Sheet</vt:lpstr>
      <vt:lpstr>'Balance Sheet'!Print_Area</vt:lpstr>
      <vt:lpstr>'Board budget actual 1HFY22'!Print_Area</vt:lpstr>
      <vt:lpstr>'Board budget FY22'!Print_Area</vt:lpstr>
      <vt:lpstr>'Board budget FY22 (2)'!Print_Area</vt:lpstr>
      <vt:lpstr>'10-year cash flow'!Print_Titles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Allen</dc:creator>
  <cp:lastModifiedBy>John Redding</cp:lastModifiedBy>
  <cp:lastPrinted>2021-07-21T16:25:41Z</cp:lastPrinted>
  <dcterms:created xsi:type="dcterms:W3CDTF">2019-06-18T14:08:13Z</dcterms:created>
  <dcterms:modified xsi:type="dcterms:W3CDTF">2022-06-05T20:37:42Z</dcterms:modified>
</cp:coreProperties>
</file>