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r\Desktop\Hospital\Archived Budgets\"/>
    </mc:Choice>
  </mc:AlternateContent>
  <xr:revisionPtr revIDLastSave="0" documentId="8_{07A254EF-C9DF-4D67-8452-818494422245}" xr6:coauthVersionLast="47" xr6:coauthVersionMax="47" xr10:uidLastSave="{00000000-0000-0000-0000-000000000000}"/>
  <bookViews>
    <workbookView xWindow="-103" yWindow="-103" windowWidth="29692" windowHeight="11829" xr2:uid="{22C1EC74-4E19-4A27-A422-326A38D74209}"/>
  </bookViews>
  <sheets>
    <sheet name="District Budget FY23" sheetId="1" r:id="rId1"/>
    <sheet name="Board Budget FY23" sheetId="2" r:id="rId2"/>
    <sheet name="Changes" sheetId="3" r:id="rId3"/>
    <sheet name="Balance Sheet" sheetId="4" r:id="rId4"/>
    <sheet name="HELP II schedule" sheetId="5" r:id="rId5"/>
    <sheet name="Refinancing" sheetId="7" r:id="rId6"/>
    <sheet name="United Health" sheetId="6" r:id="rId7"/>
    <sheet name="Interest saved" sheetId="8" r:id="rId8"/>
  </sheets>
  <definedNames>
    <definedName name="_xlnm.Print_Area" localSheetId="1">'Board Budget FY23'!$A$2:$P$37</definedName>
    <definedName name="_xlnm.Print_Area" localSheetId="0">'District Budget FY23'!$A$1:$Q$23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" i="8" l="1"/>
  <c r="E4" i="8"/>
  <c r="E5" i="8"/>
  <c r="D3" i="8"/>
  <c r="C3" i="8"/>
  <c r="C44" i="7"/>
  <c r="D44" i="7"/>
  <c r="A2" i="2"/>
  <c r="O26" i="2"/>
  <c r="N26" i="2"/>
  <c r="M26" i="2"/>
  <c r="L26" i="2"/>
  <c r="K26" i="2"/>
  <c r="J26" i="2"/>
  <c r="I26" i="2"/>
  <c r="H26" i="2"/>
  <c r="G26" i="2"/>
  <c r="F26" i="2"/>
  <c r="E26" i="2"/>
  <c r="D26" i="2"/>
  <c r="P26" i="2" s="1"/>
  <c r="B4" i="3"/>
  <c r="B8" i="3"/>
  <c r="P31" i="2"/>
  <c r="D32" i="2"/>
  <c r="B9" i="3" s="1"/>
  <c r="K11" i="7"/>
  <c r="J2" i="7"/>
  <c r="J3" i="7"/>
  <c r="J1" i="7" s="1"/>
  <c r="J4" i="7"/>
  <c r="J5" i="7"/>
  <c r="J6" i="7"/>
  <c r="J7" i="7"/>
  <c r="J8" i="7"/>
  <c r="J9" i="7"/>
  <c r="J10" i="7"/>
  <c r="K10" i="7"/>
  <c r="J11" i="7"/>
  <c r="D5" i="8"/>
  <c r="C5" i="8"/>
  <c r="D4" i="8"/>
  <c r="C4" i="8"/>
  <c r="H6" i="5"/>
  <c r="G17" i="5"/>
  <c r="G16" i="5"/>
  <c r="G15" i="5"/>
  <c r="G14" i="5"/>
  <c r="G13" i="5"/>
  <c r="G12" i="5"/>
  <c r="G11" i="5"/>
  <c r="G10" i="5"/>
  <c r="G9" i="5"/>
  <c r="G8" i="5"/>
  <c r="G7" i="5"/>
  <c r="G6" i="5"/>
  <c r="F2" i="5"/>
  <c r="F16" i="6"/>
  <c r="E16" i="6"/>
  <c r="H14" i="6"/>
  <c r="G14" i="6"/>
  <c r="H13" i="6"/>
  <c r="G13" i="6"/>
  <c r="H12" i="6"/>
  <c r="G12" i="6"/>
  <c r="H11" i="6"/>
  <c r="G11" i="6"/>
  <c r="H10" i="6"/>
  <c r="G10" i="6"/>
  <c r="H9" i="6"/>
  <c r="G9" i="6"/>
  <c r="H8" i="6"/>
  <c r="G8" i="6"/>
  <c r="H7" i="6"/>
  <c r="G7" i="6"/>
  <c r="H6" i="6"/>
  <c r="G6" i="6"/>
  <c r="H5" i="6"/>
  <c r="G5" i="6"/>
  <c r="H5" i="7"/>
  <c r="H8" i="7" s="1"/>
  <c r="H11" i="7" s="1"/>
  <c r="H14" i="7" s="1"/>
  <c r="H17" i="7" s="1"/>
  <c r="H20" i="7" s="1"/>
  <c r="H23" i="7" s="1"/>
  <c r="H26" i="7" s="1"/>
  <c r="H29" i="7" s="1"/>
  <c r="H32" i="7" s="1"/>
  <c r="H35" i="7" s="1"/>
  <c r="H38" i="7" s="1"/>
  <c r="H41" i="7" s="1"/>
  <c r="F14" i="7"/>
  <c r="B35" i="4"/>
  <c r="B37" i="4" s="1"/>
  <c r="B39" i="4" s="1"/>
  <c r="F41" i="7"/>
  <c r="F38" i="7"/>
  <c r="F35" i="7"/>
  <c r="F32" i="7"/>
  <c r="F29" i="7"/>
  <c r="F26" i="7"/>
  <c r="F23" i="7"/>
  <c r="D2" i="5"/>
  <c r="E2" i="5"/>
  <c r="B31" i="4"/>
  <c r="B23" i="4"/>
  <c r="B22" i="4"/>
  <c r="B26" i="4" s="1"/>
  <c r="B17" i="4"/>
  <c r="B6" i="4"/>
  <c r="B4" i="4"/>
  <c r="O30" i="2"/>
  <c r="N30" i="2"/>
  <c r="M30" i="2"/>
  <c r="L30" i="2"/>
  <c r="K30" i="2"/>
  <c r="J30" i="2"/>
  <c r="I30" i="2"/>
  <c r="H30" i="2"/>
  <c r="G30" i="2"/>
  <c r="F30" i="2"/>
  <c r="E30" i="2"/>
  <c r="D30" i="2"/>
  <c r="B7" i="3" s="1"/>
  <c r="E25" i="2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F21" i="2"/>
  <c r="E13" i="1"/>
  <c r="F8" i="1"/>
  <c r="N19" i="2"/>
  <c r="D16" i="2"/>
  <c r="E16" i="2" s="1"/>
  <c r="F16" i="2" s="1"/>
  <c r="G16" i="2" s="1"/>
  <c r="H16" i="2" s="1"/>
  <c r="I16" i="2" s="1"/>
  <c r="J16" i="2" s="1"/>
  <c r="K16" i="2" s="1"/>
  <c r="L16" i="2" s="1"/>
  <c r="M16" i="2" s="1"/>
  <c r="N16" i="2" s="1"/>
  <c r="O16" i="2" s="1"/>
  <c r="C13" i="2"/>
  <c r="J26" i="7" l="1"/>
  <c r="L15" i="7"/>
  <c r="L14" i="7" s="1"/>
  <c r="D6" i="8"/>
  <c r="C6" i="8"/>
  <c r="P30" i="2"/>
  <c r="P32" i="2"/>
  <c r="E44" i="7"/>
  <c r="B8" i="4"/>
  <c r="B19" i="4" s="1"/>
  <c r="B27" i="4" s="1"/>
  <c r="V6" i="1"/>
  <c r="N7" i="1"/>
  <c r="N12" i="1" s="1"/>
  <c r="K7" i="1"/>
  <c r="K12" i="1" s="1"/>
  <c r="U16" i="1"/>
  <c r="U17" i="1" s="1"/>
  <c r="N8" i="1"/>
  <c r="D7" i="8" l="1"/>
  <c r="B41" i="4"/>
  <c r="P29" i="2"/>
  <c r="Q15" i="1" l="1"/>
  <c r="O27" i="2"/>
  <c r="N27" i="2"/>
  <c r="M27" i="2"/>
  <c r="L27" i="2"/>
  <c r="K27" i="2"/>
  <c r="J27" i="2"/>
  <c r="I27" i="2"/>
  <c r="H27" i="2"/>
  <c r="G27" i="2"/>
  <c r="F27" i="2"/>
  <c r="E27" i="2"/>
  <c r="D27" i="2"/>
  <c r="B24" i="2"/>
  <c r="B23" i="2"/>
  <c r="P27" i="2" l="1"/>
  <c r="J23" i="2"/>
  <c r="P23" i="2" s="1"/>
  <c r="O15" i="2"/>
  <c r="N15" i="2"/>
  <c r="M15" i="2"/>
  <c r="L15" i="2"/>
  <c r="K15" i="2"/>
  <c r="J15" i="2"/>
  <c r="I15" i="2"/>
  <c r="H15" i="2"/>
  <c r="G15" i="2"/>
  <c r="F15" i="2"/>
  <c r="E15" i="2"/>
  <c r="D15" i="2"/>
  <c r="P28" i="2"/>
  <c r="P25" i="2"/>
  <c r="E17" i="1"/>
  <c r="P17" i="1" s="1"/>
  <c r="O22" i="2"/>
  <c r="P22" i="2" s="1"/>
  <c r="P21" i="2"/>
  <c r="O13" i="2"/>
  <c r="N13" i="2"/>
  <c r="M13" i="2"/>
  <c r="L13" i="2"/>
  <c r="K13" i="2"/>
  <c r="J13" i="2"/>
  <c r="I13" i="2"/>
  <c r="H13" i="2"/>
  <c r="G13" i="2"/>
  <c r="F13" i="2"/>
  <c r="E13" i="2"/>
  <c r="D13" i="2"/>
  <c r="P20" i="2"/>
  <c r="C20" i="2" s="1"/>
  <c r="J24" i="2"/>
  <c r="P24" i="2" s="1"/>
  <c r="P19" i="2"/>
  <c r="G33" i="2" l="1"/>
  <c r="I33" i="2"/>
  <c r="K17" i="1"/>
  <c r="Q17" i="1" s="1"/>
  <c r="M14" i="2"/>
  <c r="D14" i="2"/>
  <c r="D33" i="2" s="1"/>
  <c r="E14" i="2"/>
  <c r="E33" i="2" s="1"/>
  <c r="F14" i="2"/>
  <c r="F33" i="2" s="1"/>
  <c r="L14" i="2"/>
  <c r="N14" i="2"/>
  <c r="O14" i="2"/>
  <c r="G14" i="2"/>
  <c r="H14" i="2"/>
  <c r="H33" i="2" s="1"/>
  <c r="I14" i="2"/>
  <c r="J14" i="2"/>
  <c r="P15" i="2"/>
  <c r="P13" i="2"/>
  <c r="K14" i="2"/>
  <c r="P17" i="2"/>
  <c r="B18" i="2"/>
  <c r="J33" i="2" l="1"/>
  <c r="J34" i="2" s="1"/>
  <c r="P14" i="2"/>
  <c r="P18" i="2"/>
  <c r="I34" i="2"/>
  <c r="H34" i="2"/>
  <c r="G34" i="2"/>
  <c r="F34" i="2"/>
  <c r="E34" i="2"/>
  <c r="D8" i="2"/>
  <c r="D10" i="2" s="1"/>
  <c r="Q6" i="1"/>
  <c r="N16" i="1"/>
  <c r="E18" i="1"/>
  <c r="Q18" i="1" s="1"/>
  <c r="K33" i="2" l="1"/>
  <c r="K34" i="2" s="1"/>
  <c r="N10" i="2"/>
  <c r="B10" i="2"/>
  <c r="G36" i="2"/>
  <c r="H10" i="2"/>
  <c r="H36" i="2" s="1"/>
  <c r="I10" i="2"/>
  <c r="I36" i="2" s="1"/>
  <c r="J36" i="2"/>
  <c r="K10" i="2"/>
  <c r="O10" i="2"/>
  <c r="P16" i="2"/>
  <c r="E10" i="2"/>
  <c r="E36" i="2" s="1"/>
  <c r="F10" i="2"/>
  <c r="F36" i="2" s="1"/>
  <c r="L10" i="2"/>
  <c r="L33" i="2" l="1"/>
  <c r="K36" i="2"/>
  <c r="D34" i="2"/>
  <c r="N14" i="1"/>
  <c r="N19" i="1" s="1"/>
  <c r="K13" i="1"/>
  <c r="H9" i="1"/>
  <c r="L34" i="2" l="1"/>
  <c r="L36" i="2" s="1"/>
  <c r="M33" i="2"/>
  <c r="Q13" i="1"/>
  <c r="P10" i="2"/>
  <c r="D36" i="2"/>
  <c r="L14" i="1"/>
  <c r="L19" i="1" s="1"/>
  <c r="E9" i="1"/>
  <c r="G9" i="1"/>
  <c r="J9" i="1"/>
  <c r="K14" i="1"/>
  <c r="K19" i="1" s="1"/>
  <c r="I9" i="1"/>
  <c r="O14" i="1"/>
  <c r="O19" i="1" s="1"/>
  <c r="F14" i="1"/>
  <c r="L9" i="1"/>
  <c r="M9" i="1"/>
  <c r="G14" i="1"/>
  <c r="G19" i="1" s="1"/>
  <c r="P14" i="1"/>
  <c r="P19" i="1" s="1"/>
  <c r="E14" i="1"/>
  <c r="H14" i="1"/>
  <c r="H19" i="1" s="1"/>
  <c r="O9" i="1"/>
  <c r="I14" i="1"/>
  <c r="I19" i="1" s="1"/>
  <c r="P9" i="1"/>
  <c r="J14" i="1"/>
  <c r="J19" i="1" s="1"/>
  <c r="M14" i="1"/>
  <c r="M19" i="1" s="1"/>
  <c r="M34" i="2" l="1"/>
  <c r="M36" i="2" s="1"/>
  <c r="N33" i="2"/>
  <c r="D37" i="2"/>
  <c r="E37" i="2" s="1"/>
  <c r="F37" i="2" s="1"/>
  <c r="G37" i="2" s="1"/>
  <c r="H37" i="2" s="1"/>
  <c r="I37" i="2" s="1"/>
  <c r="J37" i="2" s="1"/>
  <c r="K37" i="2" s="1"/>
  <c r="L37" i="2" s="1"/>
  <c r="Q14" i="1"/>
  <c r="G21" i="1"/>
  <c r="H21" i="1"/>
  <c r="I21" i="1"/>
  <c r="J21" i="1"/>
  <c r="L21" i="1"/>
  <c r="M21" i="1"/>
  <c r="O21" i="1"/>
  <c r="P21" i="1"/>
  <c r="E19" i="1"/>
  <c r="M37" i="2" l="1"/>
  <c r="N34" i="2"/>
  <c r="N36" i="2" s="1"/>
  <c r="N37" i="2" s="1"/>
  <c r="O33" i="2"/>
  <c r="P33" i="2" s="1"/>
  <c r="E21" i="1"/>
  <c r="Q33" i="2" l="1"/>
  <c r="Q36" i="2"/>
  <c r="O34" i="2"/>
  <c r="P34" i="2" s="1"/>
  <c r="Q34" i="2" s="1"/>
  <c r="E22" i="1"/>
  <c r="O36" i="2" l="1"/>
  <c r="P36" i="2" s="1"/>
  <c r="P38" i="2" s="1"/>
  <c r="Q16" i="1"/>
  <c r="O37" i="2" l="1"/>
  <c r="K8" i="1"/>
  <c r="K9" i="1" l="1"/>
  <c r="K21" i="1" s="1"/>
  <c r="F7" i="1"/>
  <c r="F12" i="1" s="1"/>
  <c r="F19" i="1" s="1"/>
  <c r="Q19" i="1" s="1"/>
  <c r="Q12" i="1" l="1"/>
  <c r="R19" i="1" s="1"/>
  <c r="F9" i="1"/>
  <c r="F21" i="1" s="1"/>
  <c r="N9" i="1"/>
  <c r="N21" i="1" s="1"/>
  <c r="Q9" i="1" l="1"/>
  <c r="Q21" i="1"/>
  <c r="F22" i="1"/>
  <c r="G22" i="1" s="1"/>
  <c r="H22" i="1" s="1"/>
  <c r="I22" i="1" s="1"/>
  <c r="J22" i="1" s="1"/>
  <c r="K22" i="1" s="1"/>
  <c r="L22" i="1" s="1"/>
  <c r="M22" i="1" s="1"/>
  <c r="N22" i="1" s="1"/>
  <c r="O22" i="1" s="1"/>
  <c r="P22" i="1" s="1"/>
  <c r="Q22" i="1" s="1"/>
</calcChain>
</file>

<file path=xl/sharedStrings.xml><?xml version="1.0" encoding="utf-8"?>
<sst xmlns="http://schemas.openxmlformats.org/spreadsheetml/2006/main" count="187" uniqueCount="143">
  <si>
    <t>CY 2022</t>
  </si>
  <si>
    <t>Cash Flow  by Month</t>
  </si>
  <si>
    <t>Notes</t>
  </si>
  <si>
    <t xml:space="preserve">Annual </t>
  </si>
  <si>
    <t>July</t>
  </si>
  <si>
    <t>Aug.</t>
  </si>
  <si>
    <t>Sept.</t>
  </si>
  <si>
    <t>Oct.</t>
  </si>
  <si>
    <t>Nov.</t>
  </si>
  <si>
    <t>Dec.</t>
  </si>
  <si>
    <t>Jan.</t>
  </si>
  <si>
    <t>Feb.</t>
  </si>
  <si>
    <t>Mar.</t>
  </si>
  <si>
    <t>Apr.</t>
  </si>
  <si>
    <t>May</t>
  </si>
  <si>
    <t>June</t>
  </si>
  <si>
    <t>Receipts</t>
  </si>
  <si>
    <t xml:space="preserve">AH Lease Payment </t>
  </si>
  <si>
    <t>District Tax Receipts</t>
  </si>
  <si>
    <t xml:space="preserve">   TOTAL PER MONTH</t>
  </si>
  <si>
    <t>Outlays</t>
  </si>
  <si>
    <t>CPI</t>
  </si>
  <si>
    <t>Improvements Fund (maintenance)</t>
  </si>
  <si>
    <t>Revenue Bonds- Refinanced 2016</t>
  </si>
  <si>
    <t>P&amp;I annual</t>
  </si>
  <si>
    <r>
      <t>HELP II Loan</t>
    </r>
    <r>
      <rPr>
        <b/>
        <sz val="11"/>
        <color theme="1"/>
        <rFont val="Calibri"/>
        <family val="2"/>
        <scheme val="minor"/>
      </rPr>
      <t xml:space="preserve"> </t>
    </r>
  </si>
  <si>
    <t>Board Budget Allocation</t>
  </si>
  <si>
    <t xml:space="preserve">   NET CASH FLOW</t>
  </si>
  <si>
    <t>Previous Balance</t>
  </si>
  <si>
    <t>FY2023</t>
  </si>
  <si>
    <t>CY 2023</t>
  </si>
  <si>
    <t>United Health Group</t>
  </si>
  <si>
    <t>Net includes deduction of fees</t>
  </si>
  <si>
    <t>No CPI adjustment</t>
  </si>
  <si>
    <t>cap</t>
  </si>
  <si>
    <t>Fixed monthly payments</t>
  </si>
  <si>
    <t>next to last payment</t>
  </si>
  <si>
    <t>Allocation from District Budget</t>
  </si>
  <si>
    <t>Employee costs</t>
  </si>
  <si>
    <t>Contributions to HRA accounts (max)</t>
  </si>
  <si>
    <t>Annual Fee to P&amp;A</t>
  </si>
  <si>
    <t>Beta Insurance -- D&amp;0</t>
  </si>
  <si>
    <t>Beta Insurance -- Tail Health Care Liability</t>
  </si>
  <si>
    <t>inflation rate</t>
  </si>
  <si>
    <t>County Property Tax Administrative Services</t>
  </si>
  <si>
    <t>Willdan Fiancial Services</t>
  </si>
  <si>
    <t>Last year</t>
  </si>
  <si>
    <t>Payroll Expenses</t>
  </si>
  <si>
    <t>DZA Audit</t>
  </si>
  <si>
    <t>Cumulative Cash Flow</t>
  </si>
  <si>
    <t>Board training</t>
  </si>
  <si>
    <t>Feasibility Study for Healthcare Facility</t>
  </si>
  <si>
    <t>Office Expenses</t>
  </si>
  <si>
    <t>BNY Mellon</t>
  </si>
  <si>
    <t>New</t>
  </si>
  <si>
    <t>Storage per month</t>
  </si>
  <si>
    <t>Rackspace server</t>
  </si>
  <si>
    <t>Special Parcel Tax Fee, 2% Mendo  Co.</t>
  </si>
  <si>
    <t>Utilities</t>
  </si>
  <si>
    <t>4 x $600/month</t>
  </si>
  <si>
    <t>Withdrawal from LAIF to balance the budget</t>
  </si>
  <si>
    <t>already received</t>
  </si>
  <si>
    <t>Measure C Parcel Tax</t>
  </si>
  <si>
    <t>Dividend from LAIF investments</t>
  </si>
  <si>
    <t>Total Receipts</t>
  </si>
  <si>
    <t>Expenses</t>
  </si>
  <si>
    <t>Legal Services</t>
  </si>
  <si>
    <t>Financial Services K. McKee &amp; Co.</t>
  </si>
  <si>
    <t>Sum of Expenses</t>
  </si>
  <si>
    <t>Contingency</t>
  </si>
  <si>
    <t>Net Operating Balance</t>
  </si>
  <si>
    <t>LAIF current balance</t>
  </si>
  <si>
    <t>Streamline</t>
  </si>
  <si>
    <t>Streamline (website management)</t>
  </si>
  <si>
    <t>Hubs &amp; Routes</t>
  </si>
  <si>
    <t>CHANGES</t>
  </si>
  <si>
    <t xml:space="preserve">Removed </t>
  </si>
  <si>
    <t>Cost Report Adjustment</t>
  </si>
  <si>
    <t>Added</t>
  </si>
  <si>
    <t>Hubs and Routes</t>
  </si>
  <si>
    <t>California Special Districts Association</t>
  </si>
  <si>
    <t>CA Special Districts Association</t>
  </si>
  <si>
    <t>Interest saved</t>
  </si>
  <si>
    <t>Help II</t>
  </si>
  <si>
    <t>Current Unrestricted Cash</t>
  </si>
  <si>
    <t xml:space="preserve">      Bank of America</t>
  </si>
  <si>
    <t xml:space="preserve">      SBMC</t>
  </si>
  <si>
    <t xml:space="preserve">      Tri-County Bank</t>
  </si>
  <si>
    <t xml:space="preserve">       LAIF</t>
  </si>
  <si>
    <t>subtotal</t>
  </si>
  <si>
    <t>Accounts Receivable</t>
  </si>
  <si>
    <t xml:space="preserve">      Cost Report Adjustment</t>
  </si>
  <si>
    <t>Restricted Funds</t>
  </si>
  <si>
    <t xml:space="preserve">       Measure C Restricted Fund</t>
  </si>
  <si>
    <t xml:space="preserve">       Improvements Fund</t>
  </si>
  <si>
    <t xml:space="preserve">       Restricted Capital Fund</t>
  </si>
  <si>
    <t>TOTAL CASH</t>
  </si>
  <si>
    <t>Non Cash Assets</t>
  </si>
  <si>
    <t>Buildings and Facilities</t>
  </si>
  <si>
    <t>as of 6/30/2020</t>
  </si>
  <si>
    <t>Improvements</t>
  </si>
  <si>
    <t>estimate</t>
  </si>
  <si>
    <t>Land</t>
  </si>
  <si>
    <t>TOTAL NON-CASH</t>
  </si>
  <si>
    <t>TOTAL ASSETS</t>
  </si>
  <si>
    <t>Liabilities</t>
  </si>
  <si>
    <t>Current Liabilities</t>
  </si>
  <si>
    <t xml:space="preserve">       Refund portion of CAREs money</t>
  </si>
  <si>
    <t>Long Term Debt</t>
  </si>
  <si>
    <t xml:space="preserve">       Refinancing Bonds</t>
  </si>
  <si>
    <t xml:space="preserve">       HELP II</t>
  </si>
  <si>
    <t xml:space="preserve">       United Health Group</t>
  </si>
  <si>
    <t>TOTAL LIABILITIES</t>
  </si>
  <si>
    <t>NET POSITION</t>
  </si>
  <si>
    <t>Assets</t>
  </si>
  <si>
    <t>Payment</t>
  </si>
  <si>
    <t>Principal</t>
  </si>
  <si>
    <t>Interest</t>
  </si>
  <si>
    <t>Balance</t>
  </si>
  <si>
    <t>Balance due</t>
  </si>
  <si>
    <t>Coupon</t>
  </si>
  <si>
    <t>Debt Service</t>
  </si>
  <si>
    <t>Annual Debt Service</t>
  </si>
  <si>
    <t>FY26</t>
  </si>
  <si>
    <t>Year</t>
  </si>
  <si>
    <t>Prin Pay</t>
  </si>
  <si>
    <t>April</t>
  </si>
  <si>
    <t>Period Ending</t>
  </si>
  <si>
    <t>Prin paid</t>
  </si>
  <si>
    <t>Return</t>
  </si>
  <si>
    <t>early repayment</t>
  </si>
  <si>
    <t>UHC</t>
  </si>
  <si>
    <t>Payoff</t>
  </si>
  <si>
    <t>Utilities (reduced by)</t>
  </si>
  <si>
    <t>Adopted June 30, 2022</t>
  </si>
  <si>
    <t>District Budget for Fiscal Year 2023</t>
  </si>
  <si>
    <t>Board Budget for Fiscal Year 2023</t>
  </si>
  <si>
    <t>Cumulative Restricted Capital Fund (est.)</t>
  </si>
  <si>
    <t>3-5%</t>
  </si>
  <si>
    <t>Return compared to bank</t>
  </si>
  <si>
    <t>link to source</t>
  </si>
  <si>
    <t>Rate</t>
  </si>
  <si>
    <t>Refunding Bond (after 2/26)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</si>
</sst>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%"/>
    <numFmt numFmtId="166" formatCode="_(&quot;$&quot;* #,##0.0_);_(&quot;$&quot;* \(#,##0.0\);_(&quot;$&quot;* &quot;-&quot;?_);_(@_)"/>
    <numFmt numFmtId="167" formatCode="_([$$-409]* #,##0_);_([$$-409]* \(#,##0\);_([$$-409]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4"/>
      <name val="Calibri"/>
      <family val="2"/>
      <scheme val="minor"/>
    </font>
    <font>
      <b/>
      <sz val="12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24" fillId="0" borderId="0" applyNumberFormat="0" applyFill="0" applyBorder="0" applyAlignment="0" applyProtection="0"/>
  </cellStyleXfs>
  <cellXfs count="12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2" borderId="1" xfId="0" applyFill="1" applyBorder="1"/>
    <xf numFmtId="0" fontId="0" fillId="2" borderId="2" xfId="0" applyFill="1" applyBorder="1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3" fillId="2" borderId="0" xfId="0" applyFont="1" applyFill="1"/>
    <xf numFmtId="0" fontId="0" fillId="2" borderId="0" xfId="0" applyFill="1" applyAlignment="1">
      <alignment horizontal="left"/>
    </xf>
    <xf numFmtId="164" fontId="2" fillId="2" borderId="0" xfId="0" applyNumberFormat="1" applyFont="1" applyFill="1"/>
    <xf numFmtId="164" fontId="0" fillId="2" borderId="0" xfId="0" applyNumberFormat="1" applyFill="1"/>
    <xf numFmtId="164" fontId="0" fillId="2" borderId="0" xfId="1" applyNumberFormat="1" applyFont="1" applyFill="1"/>
    <xf numFmtId="164" fontId="0" fillId="0" borderId="0" xfId="1" applyNumberFormat="1" applyFont="1" applyBorder="1" applyAlignment="1">
      <alignment vertical="center" wrapText="1"/>
    </xf>
    <xf numFmtId="164" fontId="0" fillId="2" borderId="0" xfId="1" applyNumberFormat="1" applyFont="1" applyFill="1" applyBorder="1"/>
    <xf numFmtId="0" fontId="0" fillId="2" borderId="0" xfId="0" applyFill="1" applyAlignment="1">
      <alignment wrapText="1"/>
    </xf>
    <xf numFmtId="165" fontId="0" fillId="2" borderId="0" xfId="2" applyNumberFormat="1" applyFont="1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164" fontId="4" fillId="2" borderId="0" xfId="0" applyNumberFormat="1" applyFont="1" applyFill="1"/>
    <xf numFmtId="164" fontId="0" fillId="0" borderId="0" xfId="1" applyNumberFormat="1" applyFont="1"/>
    <xf numFmtId="164" fontId="0" fillId="0" borderId="0" xfId="0" applyNumberFormat="1"/>
    <xf numFmtId="0" fontId="5" fillId="2" borderId="0" xfId="0" applyFont="1" applyFill="1"/>
    <xf numFmtId="164" fontId="0" fillId="3" borderId="0" xfId="0" applyNumberFormat="1" applyFill="1"/>
    <xf numFmtId="49" fontId="6" fillId="2" borderId="0" xfId="0" applyNumberFormat="1" applyFont="1" applyFill="1"/>
    <xf numFmtId="164" fontId="0" fillId="2" borderId="0" xfId="1" applyNumberFormat="1" applyFont="1" applyFill="1" applyAlignment="1">
      <alignment horizontal="left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" xfId="0" applyFill="1" applyBorder="1"/>
    <xf numFmtId="0" fontId="0" fillId="2" borderId="5" xfId="0" applyFill="1" applyBorder="1"/>
    <xf numFmtId="0" fontId="3" fillId="2" borderId="6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0" borderId="0" xfId="0" applyFont="1"/>
    <xf numFmtId="0" fontId="6" fillId="2" borderId="0" xfId="0" applyFont="1" applyFill="1"/>
    <xf numFmtId="0" fontId="10" fillId="2" borderId="0" xfId="5" applyFont="1" applyFill="1"/>
    <xf numFmtId="0" fontId="10" fillId="0" borderId="0" xfId="5" applyFont="1"/>
    <xf numFmtId="0" fontId="10" fillId="2" borderId="0" xfId="5" applyFont="1" applyFill="1" applyAlignment="1">
      <alignment horizontal="center"/>
    </xf>
    <xf numFmtId="9" fontId="10" fillId="2" borderId="0" xfId="5" applyNumberFormat="1" applyFont="1" applyFill="1"/>
    <xf numFmtId="164" fontId="10" fillId="2" borderId="0" xfId="5" applyNumberFormat="1" applyFont="1" applyFill="1"/>
    <xf numFmtId="10" fontId="10" fillId="2" borderId="0" xfId="5" applyNumberFormat="1" applyFont="1" applyFill="1"/>
    <xf numFmtId="0" fontId="7" fillId="2" borderId="0" xfId="3" applyFill="1"/>
    <xf numFmtId="164" fontId="7" fillId="2" borderId="0" xfId="3" applyNumberFormat="1" applyFill="1"/>
    <xf numFmtId="164" fontId="10" fillId="2" borderId="0" xfId="1" applyNumberFormat="1" applyFont="1" applyFill="1"/>
    <xf numFmtId="3" fontId="10" fillId="2" borderId="0" xfId="5" applyNumberFormat="1" applyFont="1" applyFill="1"/>
    <xf numFmtId="0" fontId="0" fillId="2" borderId="0" xfId="0" applyFont="1" applyFill="1"/>
    <xf numFmtId="164" fontId="0" fillId="2" borderId="0" xfId="0" applyNumberFormat="1" applyFont="1" applyFill="1"/>
    <xf numFmtId="0" fontId="8" fillId="2" borderId="0" xfId="4" applyFill="1"/>
    <xf numFmtId="164" fontId="8" fillId="2" borderId="0" xfId="4" applyNumberFormat="1" applyFill="1"/>
    <xf numFmtId="166" fontId="0" fillId="0" borderId="0" xfId="0" applyNumberFormat="1"/>
    <xf numFmtId="10" fontId="0" fillId="0" borderId="0" xfId="2" applyNumberFormat="1" applyFont="1"/>
    <xf numFmtId="44" fontId="10" fillId="2" borderId="0" xfId="1" applyFont="1" applyFill="1"/>
    <xf numFmtId="164" fontId="2" fillId="2" borderId="0" xfId="3" applyNumberFormat="1" applyFont="1" applyFill="1"/>
    <xf numFmtId="164" fontId="12" fillId="2" borderId="0" xfId="0" applyNumberFormat="1" applyFont="1" applyFill="1"/>
    <xf numFmtId="164" fontId="14" fillId="2" borderId="0" xfId="0" applyNumberFormat="1" applyFont="1" applyFill="1"/>
    <xf numFmtId="164" fontId="13" fillId="2" borderId="0" xfId="1" applyNumberFormat="1" applyFont="1" applyFill="1"/>
    <xf numFmtId="0" fontId="15" fillId="2" borderId="0" xfId="0" applyFont="1" applyFill="1" applyAlignment="1">
      <alignment vertical="center"/>
    </xf>
    <xf numFmtId="164" fontId="5" fillId="2" borderId="0" xfId="0" applyNumberFormat="1" applyFont="1" applyFill="1"/>
    <xf numFmtId="164" fontId="13" fillId="2" borderId="0" xfId="0" applyNumberFormat="1" applyFont="1" applyFill="1"/>
    <xf numFmtId="167" fontId="0" fillId="2" borderId="0" xfId="1" applyNumberFormat="1" applyFont="1" applyFill="1"/>
    <xf numFmtId="0" fontId="0" fillId="0" borderId="0" xfId="0" applyAlignment="1">
      <alignment horizontal="center"/>
    </xf>
    <xf numFmtId="0" fontId="3" fillId="0" borderId="0" xfId="0" applyFont="1"/>
    <xf numFmtId="164" fontId="3" fillId="0" borderId="0" xfId="1" applyNumberFormat="1" applyFont="1"/>
    <xf numFmtId="164" fontId="17" fillId="2" borderId="0" xfId="0" applyNumberFormat="1" applyFont="1" applyFill="1" applyAlignment="1">
      <alignment horizontal="left"/>
    </xf>
    <xf numFmtId="164" fontId="18" fillId="2" borderId="0" xfId="1" applyNumberFormat="1" applyFont="1" applyFill="1" applyBorder="1" applyAlignment="1">
      <alignment vertical="center" wrapText="1"/>
    </xf>
    <xf numFmtId="164" fontId="0" fillId="2" borderId="7" xfId="1" applyNumberFormat="1" applyFont="1" applyFill="1" applyBorder="1"/>
    <xf numFmtId="164" fontId="17" fillId="2" borderId="0" xfId="0" applyNumberFormat="1" applyFont="1" applyFill="1"/>
    <xf numFmtId="164" fontId="0" fillId="2" borderId="8" xfId="1" applyNumberFormat="1" applyFont="1" applyFill="1" applyBorder="1"/>
    <xf numFmtId="164" fontId="17" fillId="2" borderId="0" xfId="0" applyNumberFormat="1" applyFont="1" applyFill="1" applyAlignment="1">
      <alignment horizontal="center"/>
    </xf>
    <xf numFmtId="164" fontId="3" fillId="2" borderId="0" xfId="1" applyNumberFormat="1" applyFont="1" applyFill="1"/>
    <xf numFmtId="164" fontId="16" fillId="0" borderId="0" xfId="0" applyNumberFormat="1" applyFont="1" applyAlignment="1">
      <alignment horizontal="center"/>
    </xf>
    <xf numFmtId="0" fontId="19" fillId="2" borderId="0" xfId="0" applyFont="1" applyFill="1"/>
    <xf numFmtId="164" fontId="16" fillId="2" borderId="0" xfId="0" applyNumberFormat="1" applyFont="1" applyFill="1"/>
    <xf numFmtId="164" fontId="16" fillId="2" borderId="0" xfId="0" applyNumberFormat="1" applyFont="1" applyFill="1" applyAlignment="1">
      <alignment horizontal="center"/>
    </xf>
    <xf numFmtId="164" fontId="20" fillId="2" borderId="0" xfId="0" applyNumberFormat="1" applyFont="1" applyFill="1"/>
    <xf numFmtId="164" fontId="20" fillId="2" borderId="0" xfId="1" applyNumberFormat="1" applyFont="1" applyFill="1"/>
    <xf numFmtId="164" fontId="21" fillId="2" borderId="0" xfId="0" applyNumberFormat="1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center" vertical="center"/>
    </xf>
    <xf numFmtId="164" fontId="22" fillId="2" borderId="0" xfId="0" applyNumberFormat="1" applyFont="1" applyFill="1" applyAlignment="1">
      <alignment horizontal="center" vertical="center"/>
    </xf>
    <xf numFmtId="14" fontId="0" fillId="0" borderId="0" xfId="0" applyNumberFormat="1"/>
    <xf numFmtId="14" fontId="0" fillId="3" borderId="0" xfId="0" applyNumberFormat="1" applyFill="1"/>
    <xf numFmtId="0" fontId="0" fillId="3" borderId="0" xfId="0" applyFill="1"/>
    <xf numFmtId="164" fontId="0" fillId="3" borderId="0" xfId="1" applyNumberFormat="1" applyFont="1" applyFill="1"/>
    <xf numFmtId="9" fontId="0" fillId="0" borderId="0" xfId="2" applyFon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 wrapText="1"/>
    </xf>
    <xf numFmtId="164" fontId="0" fillId="0" borderId="0" xfId="1" applyNumberFormat="1" applyFont="1" applyAlignment="1">
      <alignment horizontal="center"/>
    </xf>
    <xf numFmtId="0" fontId="0" fillId="0" borderId="0" xfId="1" applyNumberFormat="1" applyFont="1" applyAlignment="1">
      <alignment horizontal="left"/>
    </xf>
    <xf numFmtId="0" fontId="0" fillId="0" borderId="0" xfId="1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0" fontId="0" fillId="6" borderId="3" xfId="0" applyFill="1" applyBorder="1"/>
    <xf numFmtId="9" fontId="0" fillId="6" borderId="4" xfId="2" applyFont="1" applyFill="1" applyBorder="1" applyAlignment="1">
      <alignment horizontal="center"/>
    </xf>
    <xf numFmtId="164" fontId="0" fillId="6" borderId="4" xfId="1" applyNumberFormat="1" applyFont="1" applyFill="1" applyBorder="1"/>
    <xf numFmtId="14" fontId="0" fillId="6" borderId="9" xfId="0" applyNumberFormat="1" applyFill="1" applyBorder="1"/>
    <xf numFmtId="9" fontId="0" fillId="6" borderId="10" xfId="2" applyFont="1" applyFill="1" applyBorder="1" applyAlignment="1">
      <alignment horizontal="center"/>
    </xf>
    <xf numFmtId="164" fontId="0" fillId="6" borderId="10" xfId="1" applyNumberFormat="1" applyFont="1" applyFill="1" applyBorder="1"/>
    <xf numFmtId="164" fontId="0" fillId="6" borderId="5" xfId="1" applyNumberFormat="1" applyFont="1" applyFill="1" applyBorder="1" applyAlignment="1">
      <alignment horizontal="center"/>
    </xf>
    <xf numFmtId="8" fontId="0" fillId="0" borderId="0" xfId="0" applyNumberFormat="1"/>
    <xf numFmtId="9" fontId="0" fillId="6" borderId="11" xfId="2" applyFont="1" applyFill="1" applyBorder="1" applyAlignment="1">
      <alignment horizontal="center"/>
    </xf>
    <xf numFmtId="165" fontId="0" fillId="0" borderId="0" xfId="2" applyNumberFormat="1" applyFont="1"/>
    <xf numFmtId="164" fontId="21" fillId="0" borderId="0" xfId="0" applyNumberFormat="1" applyFont="1"/>
    <xf numFmtId="164" fontId="23" fillId="2" borderId="0" xfId="5" applyNumberFormat="1" applyFont="1" applyFill="1"/>
    <xf numFmtId="164" fontId="23" fillId="0" borderId="0" xfId="1" applyNumberFormat="1" applyFont="1"/>
    <xf numFmtId="164" fontId="23" fillId="2" borderId="0" xfId="1" applyNumberFormat="1" applyFont="1" applyFill="1"/>
    <xf numFmtId="165" fontId="0" fillId="0" borderId="0" xfId="2" applyNumberFormat="1" applyFont="1" applyAlignment="1">
      <alignment horizontal="center"/>
    </xf>
    <xf numFmtId="10" fontId="0" fillId="0" borderId="0" xfId="2" applyNumberFormat="1" applyFont="1" applyAlignment="1">
      <alignment horizontal="center"/>
    </xf>
    <xf numFmtId="0" fontId="24" fillId="0" borderId="0" xfId="6"/>
    <xf numFmtId="14" fontId="0" fillId="0" borderId="0" xfId="0" applyNumberFormat="1" applyFill="1"/>
    <xf numFmtId="9" fontId="0" fillId="0" borderId="0" xfId="2" applyFont="1" applyFill="1" applyAlignment="1">
      <alignment horizontal="center"/>
    </xf>
    <xf numFmtId="164" fontId="0" fillId="0" borderId="0" xfId="1" applyNumberFormat="1" applyFont="1" applyFill="1"/>
    <xf numFmtId="14" fontId="0" fillId="0" borderId="0" xfId="0" applyNumberFormat="1" applyFill="1" applyAlignment="1">
      <alignment horizontal="center"/>
    </xf>
    <xf numFmtId="44" fontId="0" fillId="0" borderId="0" xfId="1" applyFont="1" applyFill="1"/>
    <xf numFmtId="14" fontId="0" fillId="7" borderId="0" xfId="0" applyNumberFormat="1" applyFill="1"/>
    <xf numFmtId="9" fontId="0" fillId="7" borderId="0" xfId="2" applyFont="1" applyFill="1" applyAlignment="1">
      <alignment horizontal="center"/>
    </xf>
    <xf numFmtId="164" fontId="0" fillId="7" borderId="0" xfId="1" applyNumberFormat="1" applyFont="1" applyFill="1"/>
    <xf numFmtId="0" fontId="0" fillId="7" borderId="0" xfId="0" applyFill="1"/>
    <xf numFmtId="164" fontId="0" fillId="7" borderId="0" xfId="0" applyNumberFormat="1" applyFill="1"/>
    <xf numFmtId="14" fontId="0" fillId="7" borderId="0" xfId="0" applyNumberFormat="1" applyFill="1" applyAlignment="1">
      <alignment horizontal="center"/>
    </xf>
    <xf numFmtId="0" fontId="11" fillId="2" borderId="0" xfId="5" applyFont="1" applyFill="1" applyAlignment="1">
      <alignment horizontal="center"/>
    </xf>
  </cellXfs>
  <cellStyles count="7">
    <cellStyle name="Currency" xfId="1" builtinId="4"/>
    <cellStyle name="Explanatory Text" xfId="5" builtinId="53"/>
    <cellStyle name="Good" xfId="3" builtinId="26"/>
    <cellStyle name="Hyperlink" xfId="6" builtinId="8"/>
    <cellStyle name="Neutral" xfId="4" builtinId="2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ww.fitchratings.com/research/us-public-finance/investment-portfolios-key-for-not-for-profit-hospital-credit-16-10-2019" TargetMode="Externa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18</xdr:col>
      <xdr:colOff>504916</xdr:colOff>
      <xdr:row>23</xdr:row>
      <xdr:rowOff>140970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6AD0664-61C7-5FFD-B912-C05E84A47795}"/>
            </a:ext>
          </a:extLst>
        </xdr:cNvPr>
        <xdr:cNvGrpSpPr>
          <a:grpSpLocks/>
        </xdr:cNvGrpSpPr>
      </xdr:nvGrpSpPr>
      <xdr:grpSpPr>
        <a:xfrm>
          <a:off x="11827329" y="185057"/>
          <a:ext cx="3770630" cy="4331970"/>
          <a:chOff x="0" y="0"/>
          <a:chExt cx="4808220" cy="543496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D7E817-1049-C73B-B987-1EF232A3E9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4808220" cy="5434965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D7962AE-7093-0CF9-2832-A6E2247ACC3A}"/>
              </a:ext>
            </a:extLst>
          </xdr:cNvPr>
          <xdr:cNvSpPr/>
        </xdr:nvSpPr>
        <xdr:spPr>
          <a:xfrm>
            <a:off x="408214" y="3009900"/>
            <a:ext cx="3984171" cy="310243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  <xdr:twoCellAnchor>
    <xdr:from>
      <xdr:col>7</xdr:col>
      <xdr:colOff>103415</xdr:colOff>
      <xdr:row>4</xdr:row>
      <xdr:rowOff>5443</xdr:rowOff>
    </xdr:from>
    <xdr:to>
      <xdr:col>15</xdr:col>
      <xdr:colOff>567509</xdr:colOff>
      <xdr:row>36</xdr:row>
      <xdr:rowOff>1905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60C7095-9D1F-028F-E903-1FC8940EB45B}"/>
            </a:ext>
          </a:extLst>
        </xdr:cNvPr>
        <xdr:cNvGrpSpPr>
          <a:grpSpLocks/>
        </xdr:cNvGrpSpPr>
      </xdr:nvGrpSpPr>
      <xdr:grpSpPr>
        <a:xfrm>
          <a:off x="8011886" y="816429"/>
          <a:ext cx="5689237" cy="6076133"/>
          <a:chOff x="0" y="0"/>
          <a:chExt cx="5580380" cy="663130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9B311E1-222A-CD91-89CA-022F851175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5580380" cy="6631305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174A8545-46C9-B8BE-6567-A98DA5FF254B}"/>
              </a:ext>
            </a:extLst>
          </xdr:cNvPr>
          <xdr:cNvSpPr/>
        </xdr:nvSpPr>
        <xdr:spPr>
          <a:xfrm>
            <a:off x="348342" y="3592285"/>
            <a:ext cx="4784272" cy="2041072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609600</xdr:colOff>
      <xdr:row>0</xdr:row>
      <xdr:rowOff>0</xdr:rowOff>
    </xdr:from>
    <xdr:to>
      <xdr:col>22</xdr:col>
      <xdr:colOff>311694</xdr:colOff>
      <xdr:row>29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1C9CCC4-21F8-2721-6555-A28575A15CB2}"/>
            </a:ext>
          </a:extLst>
        </xdr:cNvPr>
        <xdr:cNvGrpSpPr>
          <a:grpSpLocks/>
        </xdr:cNvGrpSpPr>
      </xdr:nvGrpSpPr>
      <xdr:grpSpPr>
        <a:xfrm>
          <a:off x="10069286" y="0"/>
          <a:ext cx="5580379" cy="5366657"/>
          <a:chOff x="0" y="0"/>
          <a:chExt cx="5580380" cy="663130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221E11BC-BB62-C96E-0A1C-82FAC00CE5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5580380" cy="6631305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B21C452B-ADBD-4218-248C-CF1D6ED91216}"/>
              </a:ext>
            </a:extLst>
          </xdr:cNvPr>
          <xdr:cNvSpPr/>
        </xdr:nvSpPr>
        <xdr:spPr>
          <a:xfrm>
            <a:off x="348342" y="3592285"/>
            <a:ext cx="4784272" cy="2041072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610299</xdr:colOff>
      <xdr:row>2</xdr:row>
      <xdr:rowOff>152400</xdr:rowOff>
    </xdr:from>
    <xdr:to>
      <xdr:col>24</xdr:col>
      <xdr:colOff>27434</xdr:colOff>
      <xdr:row>13</xdr:row>
      <xdr:rowOff>59943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C0E0C-7B19-6720-B609-93856AAAF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2485" y="522514"/>
          <a:ext cx="5948563" cy="1943172"/>
        </a:xfrm>
        <a:prstGeom prst="rect">
          <a:avLst/>
        </a:prstGeom>
      </xdr:spPr>
    </xdr:pic>
    <xdr:clientData/>
  </xdr:twoCellAnchor>
  <xdr:twoCellAnchor editAs="oneCell">
    <xdr:from>
      <xdr:col>6</xdr:col>
      <xdr:colOff>283029</xdr:colOff>
      <xdr:row>1</xdr:row>
      <xdr:rowOff>5443</xdr:rowOff>
    </xdr:from>
    <xdr:to>
      <xdr:col>13</xdr:col>
      <xdr:colOff>452525</xdr:colOff>
      <xdr:row>18</xdr:row>
      <xdr:rowOff>43542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4BFFDE7-4A71-248A-46C0-7A90A64EC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70072" y="190500"/>
          <a:ext cx="4741496" cy="3184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168853</xdr:colOff>
      <xdr:row>35</xdr:row>
      <xdr:rowOff>21869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9B943CC-C620-DB4F-1489-78CFC70EC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75857"/>
          <a:ext cx="4735410" cy="3723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174172</xdr:rowOff>
    </xdr:from>
    <xdr:to>
      <xdr:col>4</xdr:col>
      <xdr:colOff>152524</xdr:colOff>
      <xdr:row>41</xdr:row>
      <xdr:rowOff>10916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ADBE98-0FB1-B89E-E8C7-0F0F25CA6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466115"/>
          <a:ext cx="4719081" cy="1132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commercialloandirect.com/hospital-finance-healthcare-mortgages.html" TargetMode="External"/><Relationship Id="rId1" Type="http://schemas.openxmlformats.org/officeDocument/2006/relationships/hyperlink" Target="https://www.fitchratings.com/research/us-public-finance/investment-portfolios-key-for-not-for-profit-hospital-credit-16-10-2019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3DD4-7E23-468A-AE15-3CDB5A059E06}">
  <dimension ref="A1:V35"/>
  <sheetViews>
    <sheetView tabSelected="1" topLeftCell="A11" workbookViewId="0">
      <pane xSplit="4" topLeftCell="E1" activePane="topRight" state="frozen"/>
      <selection pane="topRight" activeCell="S1" sqref="S1:S1048576"/>
    </sheetView>
  </sheetViews>
  <sheetFormatPr defaultRowHeight="14.6" x14ac:dyDescent="0.4"/>
  <cols>
    <col min="1" max="1" width="32.84375" bestFit="1" customWidth="1"/>
    <col min="2" max="2" width="13.69140625" customWidth="1"/>
    <col min="3" max="3" width="7.765625" customWidth="1"/>
    <col min="4" max="4" width="14.69140625" customWidth="1"/>
    <col min="5" max="5" width="13.61328125" bestFit="1" customWidth="1"/>
    <col min="6" max="6" width="11.84375" customWidth="1"/>
    <col min="7" max="7" width="12.4609375" bestFit="1" customWidth="1"/>
    <col min="8" max="8" width="13.84375" bestFit="1" customWidth="1"/>
    <col min="9" max="12" width="11.3046875" bestFit="1" customWidth="1"/>
    <col min="13" max="13" width="11" bestFit="1" customWidth="1"/>
    <col min="14" max="16" width="11.3046875" bestFit="1" customWidth="1"/>
    <col min="17" max="17" width="13.61328125" bestFit="1" customWidth="1"/>
    <col min="18" max="18" width="11" bestFit="1" customWidth="1"/>
    <col min="19" max="19" width="11.07421875" bestFit="1" customWidth="1"/>
  </cols>
  <sheetData>
    <row r="1" spans="1:22" x14ac:dyDescent="0.4">
      <c r="A1" s="34" t="s">
        <v>135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2" ht="15" thickBot="1" x14ac:dyDescent="0.45">
      <c r="A2" s="25" t="s">
        <v>134</v>
      </c>
      <c r="B2" s="1"/>
      <c r="C2" s="1"/>
      <c r="D2" s="2"/>
      <c r="E2" s="2" t="s">
        <v>0</v>
      </c>
      <c r="F2" s="2"/>
      <c r="G2" s="2"/>
      <c r="H2" s="2"/>
      <c r="I2" s="2"/>
      <c r="J2" s="2"/>
      <c r="K2" s="2" t="s">
        <v>30</v>
      </c>
      <c r="L2" s="1"/>
      <c r="M2" s="1"/>
      <c r="N2" s="1"/>
      <c r="O2" s="1"/>
      <c r="P2" s="1"/>
      <c r="Q2" s="1"/>
    </row>
    <row r="3" spans="1:22" ht="15" thickBot="1" x14ac:dyDescent="0.45">
      <c r="A3" s="1" t="s">
        <v>1</v>
      </c>
      <c r="B3" s="23" t="s">
        <v>2</v>
      </c>
      <c r="C3" s="1"/>
      <c r="D3" s="1"/>
      <c r="E3" s="3" t="s">
        <v>29</v>
      </c>
      <c r="F3" s="4"/>
      <c r="G3" s="4"/>
      <c r="H3" s="4"/>
      <c r="I3" s="4"/>
      <c r="J3" s="4"/>
      <c r="K3" s="4"/>
      <c r="L3" s="4"/>
      <c r="M3" s="4"/>
      <c r="N3" s="4"/>
      <c r="O3" s="4"/>
      <c r="P3" s="5"/>
      <c r="Q3" s="2" t="s">
        <v>3</v>
      </c>
    </row>
    <row r="4" spans="1:22" ht="15" thickBot="1" x14ac:dyDescent="0.45">
      <c r="B4" s="1"/>
      <c r="C4" s="1"/>
      <c r="D4" s="2"/>
      <c r="E4" s="6" t="s">
        <v>4</v>
      </c>
      <c r="F4" s="6" t="s">
        <v>5</v>
      </c>
      <c r="G4" s="6" t="s">
        <v>6</v>
      </c>
      <c r="H4" s="6" t="s">
        <v>7</v>
      </c>
      <c r="I4" s="6" t="s">
        <v>8</v>
      </c>
      <c r="J4" s="6" t="s">
        <v>9</v>
      </c>
      <c r="K4" s="6" t="s">
        <v>10</v>
      </c>
      <c r="L4" s="6" t="s">
        <v>11</v>
      </c>
      <c r="M4" s="6" t="s">
        <v>12</v>
      </c>
      <c r="N4" s="6" t="s">
        <v>13</v>
      </c>
      <c r="O4" s="6" t="s">
        <v>14</v>
      </c>
      <c r="P4" s="7" t="s">
        <v>15</v>
      </c>
      <c r="Q4" s="1"/>
    </row>
    <row r="5" spans="1:22" x14ac:dyDescent="0.4">
      <c r="A5" s="8" t="s">
        <v>16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22" x14ac:dyDescent="0.4">
      <c r="A6" s="1" t="s">
        <v>17</v>
      </c>
      <c r="B6" s="9" t="s">
        <v>33</v>
      </c>
      <c r="C6" s="1"/>
      <c r="D6" s="1"/>
      <c r="E6" s="55">
        <v>875000</v>
      </c>
      <c r="F6" s="56" t="s">
        <v>61</v>
      </c>
      <c r="G6" s="1"/>
      <c r="H6" s="1"/>
      <c r="I6" s="1"/>
      <c r="J6" s="1"/>
      <c r="K6" s="54">
        <v>875000</v>
      </c>
      <c r="L6" s="1"/>
      <c r="M6" s="1"/>
      <c r="N6" s="1"/>
      <c r="O6" s="1"/>
      <c r="P6" s="1"/>
      <c r="Q6" s="11">
        <f t="shared" ref="Q6:Q9" si="0">SUM(E6:P6)</f>
        <v>1750000</v>
      </c>
      <c r="V6">
        <f>12.5/4</f>
        <v>3.125</v>
      </c>
    </row>
    <row r="7" spans="1:22" x14ac:dyDescent="0.4">
      <c r="A7" s="1" t="s">
        <v>62</v>
      </c>
      <c r="B7" s="26" t="s">
        <v>32</v>
      </c>
      <c r="C7" s="1"/>
      <c r="D7" s="11"/>
      <c r="E7" s="11"/>
      <c r="F7" s="11">
        <f>1600000-K7-N7</f>
        <v>135249.99999999988</v>
      </c>
      <c r="G7" s="11"/>
      <c r="H7" s="11"/>
      <c r="I7" s="13"/>
      <c r="J7" s="11"/>
      <c r="K7" s="11">
        <f>0.55*Q7</f>
        <v>866250.00000000012</v>
      </c>
      <c r="L7" s="11"/>
      <c r="M7" s="11"/>
      <c r="N7" s="11">
        <f>0.38*Q7</f>
        <v>598500</v>
      </c>
      <c r="O7" s="1"/>
      <c r="P7" s="11"/>
      <c r="Q7" s="11">
        <v>1575000</v>
      </c>
    </row>
    <row r="8" spans="1:22" x14ac:dyDescent="0.4">
      <c r="A8" s="1" t="s">
        <v>18</v>
      </c>
      <c r="B8" s="12"/>
      <c r="C8" s="12"/>
      <c r="D8" s="11"/>
      <c r="E8" s="11"/>
      <c r="F8" s="11">
        <f>0.07*Q8</f>
        <v>64057.560000000005</v>
      </c>
      <c r="G8" s="11"/>
      <c r="H8" s="11"/>
      <c r="I8" s="11"/>
      <c r="J8" s="11"/>
      <c r="K8" s="11">
        <f>Q8*0.55</f>
        <v>503309.4</v>
      </c>
      <c r="L8" s="11"/>
      <c r="M8" s="11"/>
      <c r="N8" s="11">
        <f>0.38*Q8</f>
        <v>347741.04</v>
      </c>
      <c r="O8" s="1"/>
      <c r="P8" s="11"/>
      <c r="Q8" s="11">
        <v>915108</v>
      </c>
      <c r="S8" s="22"/>
    </row>
    <row r="9" spans="1:22" x14ac:dyDescent="0.4">
      <c r="A9" s="1" t="s">
        <v>19</v>
      </c>
      <c r="B9" s="1"/>
      <c r="C9" s="1"/>
      <c r="D9" s="14"/>
      <c r="E9" s="12">
        <f t="shared" ref="E9:P9" si="1">SUM(E6:E8)</f>
        <v>875000</v>
      </c>
      <c r="F9" s="12">
        <f t="shared" si="1"/>
        <v>199307.55999999988</v>
      </c>
      <c r="G9" s="12">
        <f t="shared" si="1"/>
        <v>0</v>
      </c>
      <c r="H9" s="12">
        <f t="shared" si="1"/>
        <v>0</v>
      </c>
      <c r="I9" s="12">
        <f t="shared" si="1"/>
        <v>0</v>
      </c>
      <c r="J9" s="12">
        <f t="shared" si="1"/>
        <v>0</v>
      </c>
      <c r="K9" s="12">
        <f t="shared" si="1"/>
        <v>2244559.4</v>
      </c>
      <c r="L9" s="12">
        <f t="shared" si="1"/>
        <v>0</v>
      </c>
      <c r="M9" s="12">
        <f t="shared" si="1"/>
        <v>0</v>
      </c>
      <c r="N9" s="12">
        <f>SUM(N6:N8)</f>
        <v>946241.04</v>
      </c>
      <c r="O9" s="12">
        <f t="shared" si="1"/>
        <v>0</v>
      </c>
      <c r="P9" s="12">
        <f t="shared" si="1"/>
        <v>0</v>
      </c>
      <c r="Q9" s="24">
        <f t="shared" si="0"/>
        <v>4265108</v>
      </c>
      <c r="S9" s="49"/>
    </row>
    <row r="10" spans="1:22" x14ac:dyDescent="0.4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1"/>
    </row>
    <row r="11" spans="1:22" x14ac:dyDescent="0.4">
      <c r="A11" s="8" t="s">
        <v>20</v>
      </c>
      <c r="B11" s="2" t="s">
        <v>21</v>
      </c>
      <c r="C11" s="2" t="s">
        <v>34</v>
      </c>
      <c r="D11" s="1"/>
      <c r="E11" s="1"/>
      <c r="F11" s="1"/>
      <c r="G11" s="1"/>
      <c r="H11" s="1"/>
      <c r="I11" s="1"/>
      <c r="J11" s="1"/>
      <c r="K11" s="12"/>
      <c r="L11" s="1"/>
      <c r="M11" s="1"/>
      <c r="N11" s="1"/>
      <c r="O11" s="1"/>
      <c r="P11" s="1"/>
      <c r="Q11" s="11"/>
    </row>
    <row r="12" spans="1:22" x14ac:dyDescent="0.4">
      <c r="A12" s="45" t="s">
        <v>57</v>
      </c>
      <c r="B12" s="2"/>
      <c r="C12" s="2"/>
      <c r="D12" s="1"/>
      <c r="E12" s="1"/>
      <c r="F12" s="11">
        <f>F7*0.02</f>
        <v>2704.9999999999977</v>
      </c>
      <c r="G12" s="1"/>
      <c r="H12" s="1"/>
      <c r="I12" s="1"/>
      <c r="J12" s="1"/>
      <c r="K12" s="12">
        <f>K7*0.02</f>
        <v>17325.000000000004</v>
      </c>
      <c r="L12" s="1"/>
      <c r="M12" s="1"/>
      <c r="N12" s="12">
        <f>N7*0.02</f>
        <v>11970</v>
      </c>
      <c r="O12" s="1"/>
      <c r="P12" s="1"/>
      <c r="Q12" s="11">
        <f>SUM(F12:P12)</f>
        <v>32000</v>
      </c>
    </row>
    <row r="13" spans="1:22" x14ac:dyDescent="0.4">
      <c r="A13" s="15" t="s">
        <v>22</v>
      </c>
      <c r="B13" s="16">
        <v>4.2000000000000003E-2</v>
      </c>
      <c r="C13" s="16">
        <v>0.03</v>
      </c>
      <c r="D13" s="1"/>
      <c r="E13" s="12">
        <f>1060000*(1+IF(B13&gt;C13,C13,B13))</f>
        <v>1091800</v>
      </c>
      <c r="G13" s="1"/>
      <c r="H13" s="1"/>
      <c r="I13" s="1"/>
      <c r="J13" s="1"/>
      <c r="K13" s="12">
        <f>E13</f>
        <v>1091800</v>
      </c>
      <c r="L13" s="1"/>
      <c r="M13" s="1"/>
      <c r="N13" s="1"/>
      <c r="O13" s="1"/>
      <c r="P13" s="1"/>
      <c r="Q13" s="12">
        <f t="shared" ref="Q13" si="2">SUM(E13:P13)</f>
        <v>2183600</v>
      </c>
    </row>
    <row r="14" spans="1:22" x14ac:dyDescent="0.4">
      <c r="A14" s="1" t="s">
        <v>23</v>
      </c>
      <c r="B14" s="17">
        <v>563200</v>
      </c>
      <c r="C14" s="1" t="s">
        <v>24</v>
      </c>
      <c r="D14" s="14"/>
      <c r="E14" s="11">
        <f>$B$14/12</f>
        <v>46933.333333333336</v>
      </c>
      <c r="F14" s="11">
        <f t="shared" ref="F14:P14" si="3">$B$14/12</f>
        <v>46933.333333333336</v>
      </c>
      <c r="G14" s="11">
        <f t="shared" si="3"/>
        <v>46933.333333333336</v>
      </c>
      <c r="H14" s="11">
        <f t="shared" si="3"/>
        <v>46933.333333333336</v>
      </c>
      <c r="I14" s="11">
        <f t="shared" si="3"/>
        <v>46933.333333333336</v>
      </c>
      <c r="J14" s="11">
        <f t="shared" si="3"/>
        <v>46933.333333333336</v>
      </c>
      <c r="K14" s="11">
        <f t="shared" si="3"/>
        <v>46933.333333333336</v>
      </c>
      <c r="L14" s="11">
        <f t="shared" si="3"/>
        <v>46933.333333333336</v>
      </c>
      <c r="M14" s="11">
        <f t="shared" si="3"/>
        <v>46933.333333333336</v>
      </c>
      <c r="N14" s="11">
        <f t="shared" si="3"/>
        <v>46933.333333333336</v>
      </c>
      <c r="O14" s="11">
        <f t="shared" si="3"/>
        <v>46933.333333333336</v>
      </c>
      <c r="P14" s="11">
        <f t="shared" si="3"/>
        <v>46933.333333333336</v>
      </c>
      <c r="Q14" s="11">
        <f t="shared" ref="Q14:Q18" si="4">SUM(E14:P14)</f>
        <v>563199.99999999988</v>
      </c>
    </row>
    <row r="15" spans="1:22" x14ac:dyDescent="0.4">
      <c r="A15" s="1" t="s">
        <v>25</v>
      </c>
      <c r="B15" s="1" t="s">
        <v>35</v>
      </c>
      <c r="C15" s="1"/>
      <c r="D15" s="14"/>
      <c r="E15" s="12">
        <v>13802</v>
      </c>
      <c r="F15" s="12">
        <v>13802</v>
      </c>
      <c r="G15" s="12">
        <v>13802</v>
      </c>
      <c r="H15" s="12">
        <v>13802</v>
      </c>
      <c r="I15" s="12">
        <v>13802</v>
      </c>
      <c r="J15" s="12">
        <v>13802</v>
      </c>
      <c r="K15" s="12">
        <v>13802</v>
      </c>
      <c r="L15" s="12">
        <v>13802</v>
      </c>
      <c r="M15" s="12">
        <v>13802</v>
      </c>
      <c r="N15" s="12">
        <v>13802</v>
      </c>
      <c r="O15" s="12">
        <v>13802</v>
      </c>
      <c r="P15" s="12">
        <v>13802</v>
      </c>
      <c r="Q15" s="11">
        <f t="shared" si="4"/>
        <v>165624</v>
      </c>
    </row>
    <row r="16" spans="1:22" x14ac:dyDescent="0.4">
      <c r="A16" s="1" t="s">
        <v>31</v>
      </c>
      <c r="B16" s="12">
        <v>223650</v>
      </c>
      <c r="C16" s="1" t="s">
        <v>36</v>
      </c>
      <c r="D16" s="14"/>
      <c r="E16" s="12"/>
      <c r="F16" s="12"/>
      <c r="G16" s="12"/>
      <c r="H16" s="12"/>
      <c r="I16" s="12"/>
      <c r="J16" s="12"/>
      <c r="K16" s="12"/>
      <c r="L16" s="12"/>
      <c r="M16" s="12"/>
      <c r="N16" s="11">
        <f>210000+13650</f>
        <v>223650</v>
      </c>
      <c r="O16" s="12"/>
      <c r="P16" s="12"/>
      <c r="Q16" s="11">
        <f t="shared" si="4"/>
        <v>223650</v>
      </c>
      <c r="U16">
        <f>866427+17000</f>
        <v>883427</v>
      </c>
    </row>
    <row r="17" spans="1:21" x14ac:dyDescent="0.4">
      <c r="A17" s="1" t="s">
        <v>51</v>
      </c>
      <c r="B17" s="12">
        <v>200000</v>
      </c>
      <c r="C17" s="1"/>
      <c r="D17" s="14"/>
      <c r="E17" s="12">
        <f>B17/4</f>
        <v>50000</v>
      </c>
      <c r="F17" s="12"/>
      <c r="G17" s="12"/>
      <c r="H17" s="12"/>
      <c r="I17" s="12"/>
      <c r="J17" s="12"/>
      <c r="K17" s="12">
        <f>E17*2</f>
        <v>100000</v>
      </c>
      <c r="L17" s="12"/>
      <c r="M17" s="12"/>
      <c r="N17" s="11"/>
      <c r="O17" s="12"/>
      <c r="P17" s="12">
        <f>E17</f>
        <v>50000</v>
      </c>
      <c r="Q17" s="11">
        <f t="shared" si="4"/>
        <v>200000</v>
      </c>
      <c r="U17">
        <f>17000/U16</f>
        <v>1.9243242509001876E-2</v>
      </c>
    </row>
    <row r="18" spans="1:21" x14ac:dyDescent="0.4">
      <c r="A18" s="1" t="s">
        <v>26</v>
      </c>
      <c r="B18" s="12">
        <v>250000</v>
      </c>
      <c r="C18" s="1"/>
      <c r="D18" s="11"/>
      <c r="E18" s="11">
        <f>B18</f>
        <v>250000</v>
      </c>
      <c r="F18" s="11"/>
      <c r="G18" s="11"/>
      <c r="H18" s="11"/>
      <c r="I18" s="11"/>
      <c r="J18" s="11"/>
      <c r="K18" s="11"/>
      <c r="L18" s="11"/>
      <c r="M18" s="11"/>
      <c r="O18" s="11"/>
      <c r="P18" s="11"/>
      <c r="Q18" s="11">
        <f t="shared" si="4"/>
        <v>250000</v>
      </c>
    </row>
    <row r="19" spans="1:21" x14ac:dyDescent="0.4">
      <c r="A19" s="1" t="s">
        <v>19</v>
      </c>
      <c r="B19" s="1"/>
      <c r="C19" s="1"/>
      <c r="D19" s="14"/>
      <c r="E19" s="12">
        <f>SUM(E13:E18)</f>
        <v>1452535.3333333333</v>
      </c>
      <c r="F19" s="12">
        <f t="shared" ref="F19:P19" si="5">SUM(F12:F17)</f>
        <v>63440.333333333336</v>
      </c>
      <c r="G19" s="12">
        <f t="shared" si="5"/>
        <v>60735.333333333336</v>
      </c>
      <c r="H19" s="12">
        <f t="shared" si="5"/>
        <v>60735.333333333336</v>
      </c>
      <c r="I19" s="12">
        <f t="shared" si="5"/>
        <v>60735.333333333336</v>
      </c>
      <c r="J19" s="12">
        <f t="shared" si="5"/>
        <v>60735.333333333336</v>
      </c>
      <c r="K19" s="12">
        <f t="shared" si="5"/>
        <v>1269860.3333333333</v>
      </c>
      <c r="L19" s="12">
        <f t="shared" si="5"/>
        <v>60735.333333333336</v>
      </c>
      <c r="M19" s="12">
        <f t="shared" si="5"/>
        <v>60735.333333333336</v>
      </c>
      <c r="N19" s="12">
        <f t="shared" si="5"/>
        <v>296355.33333333337</v>
      </c>
      <c r="O19" s="12">
        <f t="shared" si="5"/>
        <v>60735.333333333336</v>
      </c>
      <c r="P19" s="12">
        <f t="shared" si="5"/>
        <v>110735.33333333334</v>
      </c>
      <c r="Q19" s="24">
        <f>SUM(E19:P19)</f>
        <v>3618074.0000000005</v>
      </c>
      <c r="R19" s="22">
        <f>SUM(Q12:Q18)</f>
        <v>3618074</v>
      </c>
    </row>
    <row r="20" spans="1:21" x14ac:dyDescent="0.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1"/>
    </row>
    <row r="21" spans="1:21" x14ac:dyDescent="0.4">
      <c r="A21" s="18" t="s">
        <v>27</v>
      </c>
      <c r="B21" s="19"/>
      <c r="C21" s="19"/>
      <c r="D21" s="20" t="s">
        <v>28</v>
      </c>
      <c r="E21" s="10">
        <f t="shared" ref="E21:P21" si="6">E9-E19</f>
        <v>-577535.33333333326</v>
      </c>
      <c r="F21" s="10">
        <f t="shared" si="6"/>
        <v>135867.22666666654</v>
      </c>
      <c r="G21" s="10">
        <f t="shared" si="6"/>
        <v>-60735.333333333336</v>
      </c>
      <c r="H21" s="10">
        <f t="shared" si="6"/>
        <v>-60735.333333333336</v>
      </c>
      <c r="I21" s="10">
        <f t="shared" si="6"/>
        <v>-60735.333333333336</v>
      </c>
      <c r="J21" s="10">
        <f t="shared" si="6"/>
        <v>-60735.333333333336</v>
      </c>
      <c r="K21" s="10">
        <f t="shared" si="6"/>
        <v>974699.06666666665</v>
      </c>
      <c r="L21" s="10">
        <f t="shared" si="6"/>
        <v>-60735.333333333336</v>
      </c>
      <c r="M21" s="10">
        <f t="shared" si="6"/>
        <v>-60735.333333333336</v>
      </c>
      <c r="N21" s="10">
        <f t="shared" si="6"/>
        <v>649885.70666666667</v>
      </c>
      <c r="O21" s="10">
        <f t="shared" si="6"/>
        <v>-60735.333333333336</v>
      </c>
      <c r="P21" s="10">
        <f t="shared" si="6"/>
        <v>-110735.33333333334</v>
      </c>
      <c r="Q21" s="10">
        <f>SUM(E21:P21)</f>
        <v>647033.99999999977</v>
      </c>
    </row>
    <row r="22" spans="1:21" x14ac:dyDescent="0.4">
      <c r="A22" s="9" t="s">
        <v>137</v>
      </c>
      <c r="B22" s="1"/>
      <c r="C22" s="1"/>
      <c r="D22" s="21">
        <v>1000000</v>
      </c>
      <c r="E22" s="11">
        <f t="shared" ref="E22:P22" si="7">E21+D22</f>
        <v>422464.66666666674</v>
      </c>
      <c r="F22" s="11">
        <f t="shared" si="7"/>
        <v>558331.89333333331</v>
      </c>
      <c r="G22" s="11">
        <f t="shared" si="7"/>
        <v>497596.56</v>
      </c>
      <c r="H22" s="11">
        <f t="shared" si="7"/>
        <v>436861.22666666668</v>
      </c>
      <c r="I22" s="11">
        <f t="shared" si="7"/>
        <v>376125.89333333337</v>
      </c>
      <c r="J22" s="11">
        <f t="shared" si="7"/>
        <v>315390.56000000006</v>
      </c>
      <c r="K22" s="11">
        <f t="shared" si="7"/>
        <v>1290089.6266666667</v>
      </c>
      <c r="L22" s="11">
        <f t="shared" si="7"/>
        <v>1229354.2933333335</v>
      </c>
      <c r="M22" s="11">
        <f t="shared" si="7"/>
        <v>1168618.9600000002</v>
      </c>
      <c r="N22" s="11">
        <f t="shared" si="7"/>
        <v>1818504.666666667</v>
      </c>
      <c r="O22" s="11">
        <f t="shared" si="7"/>
        <v>1757769.3333333337</v>
      </c>
      <c r="P22" s="11">
        <f t="shared" si="7"/>
        <v>1647034.0000000005</v>
      </c>
      <c r="Q22" s="11">
        <f>P22</f>
        <v>1647034.0000000005</v>
      </c>
    </row>
    <row r="23" spans="1:21" x14ac:dyDescent="0.4">
      <c r="A23" s="1"/>
      <c r="B23" s="1"/>
      <c r="C23" s="1"/>
      <c r="D23" s="11"/>
      <c r="E23" s="11"/>
      <c r="F23" s="1"/>
      <c r="G23" s="1"/>
      <c r="H23" s="1"/>
      <c r="I23" s="1"/>
      <c r="J23" s="1"/>
      <c r="K23" s="11"/>
      <c r="L23" s="1"/>
      <c r="M23" s="1"/>
      <c r="N23" s="1"/>
      <c r="O23" s="1"/>
      <c r="P23" s="1"/>
      <c r="Q23" s="1"/>
    </row>
    <row r="24" spans="1:21" x14ac:dyDescent="0.4">
      <c r="A24" s="8"/>
      <c r="B24" s="1"/>
      <c r="C24" s="1"/>
      <c r="D24" s="1"/>
      <c r="E24" s="11"/>
      <c r="F24" s="1"/>
      <c r="G24" s="1"/>
      <c r="H24" s="1"/>
      <c r="I24" s="1"/>
      <c r="J24" s="1"/>
      <c r="K24" s="22"/>
    </row>
    <row r="25" spans="1:21" x14ac:dyDescent="0.4">
      <c r="A25" s="1"/>
      <c r="B25" s="1"/>
      <c r="C25" s="1"/>
      <c r="D25" s="12"/>
      <c r="E25" s="12"/>
      <c r="F25" s="57"/>
      <c r="G25" s="1"/>
      <c r="H25" s="1"/>
      <c r="I25" s="1"/>
      <c r="J25" s="1"/>
      <c r="K25" s="22"/>
    </row>
    <row r="26" spans="1:21" x14ac:dyDescent="0.4">
      <c r="A26" s="1"/>
      <c r="B26" s="1"/>
      <c r="C26" s="1"/>
      <c r="D26" s="12"/>
      <c r="E26" s="59"/>
      <c r="F26" s="23"/>
      <c r="G26" s="1"/>
      <c r="H26" s="1"/>
      <c r="I26" s="1"/>
      <c r="J26" s="1"/>
      <c r="K26" s="22"/>
    </row>
    <row r="27" spans="1:21" x14ac:dyDescent="0.4">
      <c r="A27" s="1"/>
      <c r="B27" s="1"/>
      <c r="C27" s="1"/>
      <c r="D27" s="12"/>
      <c r="E27" s="1"/>
      <c r="F27" s="1"/>
      <c r="G27" s="1"/>
      <c r="H27" s="1"/>
      <c r="I27" s="1"/>
      <c r="J27" s="1"/>
      <c r="K27" s="22"/>
    </row>
    <row r="28" spans="1:21" x14ac:dyDescent="0.4">
      <c r="A28" s="1"/>
      <c r="B28" s="1"/>
      <c r="C28" s="1"/>
      <c r="D28" s="12"/>
      <c r="E28" s="1"/>
      <c r="F28" s="12"/>
      <c r="G28" s="11"/>
      <c r="H28" s="1"/>
      <c r="I28" s="1"/>
      <c r="J28" s="1"/>
    </row>
    <row r="29" spans="1:21" x14ac:dyDescent="0.4">
      <c r="A29" s="8"/>
      <c r="B29" s="1"/>
      <c r="C29" s="1"/>
      <c r="D29" s="1"/>
      <c r="E29" s="1"/>
      <c r="F29" s="1"/>
      <c r="G29" s="12"/>
      <c r="H29" s="1"/>
      <c r="I29" s="1"/>
      <c r="J29" s="1"/>
    </row>
    <row r="30" spans="1:21" x14ac:dyDescent="0.4">
      <c r="A30" s="1"/>
      <c r="B30" s="1"/>
      <c r="C30" s="1"/>
      <c r="D30" s="12"/>
      <c r="E30" s="1"/>
      <c r="F30" s="1"/>
      <c r="G30" s="11"/>
      <c r="H30" s="1"/>
      <c r="I30" s="1"/>
      <c r="J30" s="1"/>
      <c r="N30" s="21"/>
      <c r="Q30" s="22"/>
    </row>
    <row r="31" spans="1:21" x14ac:dyDescent="0.4">
      <c r="A31" s="1"/>
      <c r="B31" s="1"/>
      <c r="C31" s="1"/>
      <c r="D31" s="1"/>
      <c r="E31" s="1"/>
      <c r="F31" s="1"/>
      <c r="G31" s="11"/>
      <c r="H31" s="1"/>
      <c r="I31" s="1"/>
      <c r="J31" s="1"/>
    </row>
    <row r="32" spans="1:21" x14ac:dyDescent="0.4">
      <c r="A32" s="1"/>
      <c r="B32" s="1"/>
      <c r="C32" s="1"/>
      <c r="D32" s="11"/>
      <c r="E32" s="1"/>
      <c r="F32" s="1"/>
      <c r="G32" s="1"/>
      <c r="H32" s="1"/>
      <c r="I32" s="1"/>
      <c r="J32" s="1"/>
    </row>
    <row r="33" spans="1:10" x14ac:dyDescent="0.4">
      <c r="A33" s="1"/>
      <c r="B33" s="1"/>
      <c r="C33" s="1"/>
      <c r="D33" s="1"/>
      <c r="E33" s="1"/>
      <c r="F33" s="1"/>
      <c r="G33" s="1"/>
      <c r="H33" s="1"/>
      <c r="I33" s="1"/>
      <c r="J33" s="1"/>
    </row>
    <row r="34" spans="1:10" x14ac:dyDescent="0.4">
      <c r="A34" s="1"/>
      <c r="B34" s="1"/>
      <c r="C34" s="1"/>
      <c r="D34" s="1"/>
      <c r="E34" s="1"/>
      <c r="F34" s="1"/>
      <c r="G34" s="1"/>
      <c r="H34" s="1"/>
      <c r="I34" s="1"/>
      <c r="J34" s="1"/>
    </row>
    <row r="35" spans="1:10" x14ac:dyDescent="0.4">
      <c r="A35" s="1"/>
      <c r="B35" s="1"/>
      <c r="C35" s="1"/>
      <c r="D35" s="1"/>
      <c r="E35" s="1"/>
      <c r="F35" s="1"/>
      <c r="G35" s="1"/>
      <c r="H35" s="1"/>
      <c r="I35" s="1"/>
      <c r="J35" s="1"/>
    </row>
  </sheetData>
  <pageMargins left="0.7" right="0.7" top="0.75" bottom="0.75" header="0.3" footer="0.3"/>
  <pageSetup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A1C5-7259-43C7-A8B1-052C54F726C2}">
  <dimension ref="A1:R39"/>
  <sheetViews>
    <sheetView topLeftCell="A21" workbookViewId="0">
      <selection activeCell="C30" sqref="C30"/>
    </sheetView>
  </sheetViews>
  <sheetFormatPr defaultRowHeight="14.6" x14ac:dyDescent="0.4"/>
  <cols>
    <col min="1" max="1" width="37.69140625" bestFit="1" customWidth="1"/>
    <col min="2" max="2" width="14" style="36" bestFit="1" customWidth="1"/>
    <col min="3" max="3" width="10.3046875" style="36" customWidth="1"/>
    <col min="4" max="4" width="11.07421875" bestFit="1" customWidth="1"/>
    <col min="5" max="5" width="9.53515625" bestFit="1" customWidth="1"/>
    <col min="6" max="6" width="10.07421875" bestFit="1" customWidth="1"/>
    <col min="7" max="9" width="9.53515625" bestFit="1" customWidth="1"/>
    <col min="10" max="10" width="10.07421875" bestFit="1" customWidth="1"/>
    <col min="11" max="13" width="9.53515625" bestFit="1" customWidth="1"/>
    <col min="14" max="15" width="11.07421875" bestFit="1" customWidth="1"/>
    <col min="16" max="16" width="11" bestFit="1" customWidth="1"/>
    <col min="17" max="17" width="9.53515625" bestFit="1" customWidth="1"/>
    <col min="18" max="18" width="13.61328125" bestFit="1" customWidth="1"/>
  </cols>
  <sheetData>
    <row r="1" spans="1:18" ht="15" thickBot="1" x14ac:dyDescent="0.45">
      <c r="A1" s="34" t="s">
        <v>136</v>
      </c>
      <c r="C1" s="35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8" ht="15" thickBot="1" x14ac:dyDescent="0.45">
      <c r="A2" s="34" t="str">
        <f>'District Budget FY23'!A2</f>
        <v>Adopted June 30, 2022</v>
      </c>
      <c r="B2" s="35"/>
      <c r="C2" s="35"/>
      <c r="D2" s="27" t="s">
        <v>0</v>
      </c>
      <c r="E2" s="28"/>
      <c r="F2" s="28"/>
      <c r="G2" s="28"/>
      <c r="H2" s="28"/>
      <c r="I2" s="28"/>
      <c r="J2" s="28" t="s">
        <v>30</v>
      </c>
      <c r="K2" s="29"/>
      <c r="L2" s="29"/>
      <c r="M2" s="29"/>
      <c r="N2" s="29"/>
      <c r="O2" s="30"/>
      <c r="P2" s="1"/>
    </row>
    <row r="3" spans="1:18" ht="15" thickBot="1" x14ac:dyDescent="0.45">
      <c r="A3" s="1" t="s">
        <v>1</v>
      </c>
      <c r="B3" s="120" t="s">
        <v>2</v>
      </c>
      <c r="C3" s="120"/>
      <c r="D3" s="31" t="s">
        <v>29</v>
      </c>
      <c r="E3" s="4"/>
      <c r="F3" s="4"/>
      <c r="G3" s="4"/>
      <c r="H3" s="4"/>
      <c r="I3" s="4"/>
      <c r="J3" s="4"/>
      <c r="K3" s="4"/>
      <c r="L3" s="4"/>
      <c r="M3" s="4"/>
      <c r="N3" s="4"/>
      <c r="O3" s="5"/>
      <c r="P3" s="2" t="s">
        <v>3</v>
      </c>
    </row>
    <row r="4" spans="1:18" ht="15" thickBot="1" x14ac:dyDescent="0.45">
      <c r="A4" s="1"/>
      <c r="B4" s="37"/>
      <c r="C4" s="35"/>
      <c r="D4" s="32" t="s">
        <v>4</v>
      </c>
      <c r="E4" s="6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7" t="s">
        <v>15</v>
      </c>
      <c r="P4" s="1"/>
    </row>
    <row r="5" spans="1:18" x14ac:dyDescent="0.4">
      <c r="A5" s="1" t="s">
        <v>1</v>
      </c>
      <c r="B5" s="35" t="s">
        <v>43</v>
      </c>
      <c r="C5" s="38">
        <v>0.1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8" x14ac:dyDescent="0.4">
      <c r="A6" s="1"/>
      <c r="B6" s="35"/>
      <c r="C6" s="35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8" x14ac:dyDescent="0.4">
      <c r="A7" s="8" t="s">
        <v>16</v>
      </c>
      <c r="B7" s="35"/>
      <c r="C7" s="3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R7" t="s">
        <v>71</v>
      </c>
    </row>
    <row r="8" spans="1:18" x14ac:dyDescent="0.4">
      <c r="A8" s="1" t="s">
        <v>37</v>
      </c>
      <c r="B8" s="39">
        <v>250000</v>
      </c>
      <c r="C8" s="35"/>
      <c r="D8" s="11">
        <f>B8</f>
        <v>250000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R8" s="21">
        <v>3483000</v>
      </c>
    </row>
    <row r="9" spans="1:18" x14ac:dyDescent="0.4">
      <c r="A9" s="1" t="s">
        <v>63</v>
      </c>
      <c r="B9" s="39"/>
      <c r="C9" s="40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11"/>
      <c r="R9" s="50"/>
    </row>
    <row r="10" spans="1:18" x14ac:dyDescent="0.4">
      <c r="A10" s="41" t="s">
        <v>64</v>
      </c>
      <c r="B10" s="39">
        <f>SUM(B8:B9)</f>
        <v>250000</v>
      </c>
      <c r="C10" s="35"/>
      <c r="D10" s="42">
        <f>D8</f>
        <v>250000</v>
      </c>
      <c r="E10" s="42">
        <f t="shared" ref="E10:O10" si="0">E8+E9</f>
        <v>0</v>
      </c>
      <c r="F10" s="42">
        <f t="shared" si="0"/>
        <v>0</v>
      </c>
      <c r="G10" s="42">
        <v>0</v>
      </c>
      <c r="H10" s="42">
        <f t="shared" si="0"/>
        <v>0</v>
      </c>
      <c r="I10" s="42">
        <f t="shared" si="0"/>
        <v>0</v>
      </c>
      <c r="J10" s="42">
        <v>0</v>
      </c>
      <c r="K10" s="42">
        <f t="shared" si="0"/>
        <v>0</v>
      </c>
      <c r="L10" s="42">
        <f t="shared" si="0"/>
        <v>0</v>
      </c>
      <c r="M10" s="42">
        <v>0</v>
      </c>
      <c r="N10" s="42">
        <f t="shared" si="0"/>
        <v>0</v>
      </c>
      <c r="O10" s="42">
        <f t="shared" si="0"/>
        <v>0</v>
      </c>
      <c r="P10" s="42">
        <f t="shared" ref="P10:P17" si="1">SUM(D10:O10)</f>
        <v>250000</v>
      </c>
    </row>
    <row r="11" spans="1:18" x14ac:dyDescent="0.4">
      <c r="A11" s="1"/>
      <c r="B11" s="35"/>
      <c r="C11" s="3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1"/>
    </row>
    <row r="12" spans="1:18" x14ac:dyDescent="0.4">
      <c r="A12" s="8" t="s">
        <v>65</v>
      </c>
      <c r="B12" s="37" t="s">
        <v>46</v>
      </c>
      <c r="C12" s="37" t="s">
        <v>54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1"/>
    </row>
    <row r="13" spans="1:18" x14ac:dyDescent="0.4">
      <c r="A13" s="1" t="s">
        <v>38</v>
      </c>
      <c r="B13" s="37"/>
      <c r="C13" s="39">
        <f>40*52.2*30</f>
        <v>62640</v>
      </c>
      <c r="D13" s="11">
        <f>$C$13/12</f>
        <v>5220</v>
      </c>
      <c r="E13" s="11">
        <f t="shared" ref="E13:O13" si="2">$C$13/12</f>
        <v>5220</v>
      </c>
      <c r="F13" s="11">
        <f t="shared" si="2"/>
        <v>5220</v>
      </c>
      <c r="G13" s="11">
        <f t="shared" si="2"/>
        <v>5220</v>
      </c>
      <c r="H13" s="11">
        <f t="shared" si="2"/>
        <v>5220</v>
      </c>
      <c r="I13" s="11">
        <f t="shared" si="2"/>
        <v>5220</v>
      </c>
      <c r="J13" s="11">
        <f t="shared" si="2"/>
        <v>5220</v>
      </c>
      <c r="K13" s="11">
        <f t="shared" si="2"/>
        <v>5220</v>
      </c>
      <c r="L13" s="11">
        <f t="shared" si="2"/>
        <v>5220</v>
      </c>
      <c r="M13" s="11">
        <f t="shared" si="2"/>
        <v>5220</v>
      </c>
      <c r="N13" s="11">
        <f t="shared" si="2"/>
        <v>5220</v>
      </c>
      <c r="O13" s="11">
        <f t="shared" si="2"/>
        <v>5220</v>
      </c>
      <c r="P13" s="11">
        <f t="shared" si="1"/>
        <v>62640</v>
      </c>
    </row>
    <row r="14" spans="1:18" x14ac:dyDescent="0.4">
      <c r="A14" s="1" t="s">
        <v>47</v>
      </c>
      <c r="B14" s="37"/>
      <c r="C14" s="38">
        <v>0.12</v>
      </c>
      <c r="D14" s="11">
        <f>D13*$C$14</f>
        <v>626.4</v>
      </c>
      <c r="E14" s="11">
        <f t="shared" ref="E14:O14" si="3">E13*$C$14</f>
        <v>626.4</v>
      </c>
      <c r="F14" s="11">
        <f t="shared" si="3"/>
        <v>626.4</v>
      </c>
      <c r="G14" s="11">
        <f t="shared" si="3"/>
        <v>626.4</v>
      </c>
      <c r="H14" s="11">
        <f t="shared" si="3"/>
        <v>626.4</v>
      </c>
      <c r="I14" s="11">
        <f t="shared" si="3"/>
        <v>626.4</v>
      </c>
      <c r="J14" s="11">
        <f t="shared" si="3"/>
        <v>626.4</v>
      </c>
      <c r="K14" s="11">
        <f t="shared" si="3"/>
        <v>626.4</v>
      </c>
      <c r="L14" s="11">
        <f t="shared" si="3"/>
        <v>626.4</v>
      </c>
      <c r="M14" s="11">
        <f t="shared" si="3"/>
        <v>626.4</v>
      </c>
      <c r="N14" s="11">
        <f t="shared" si="3"/>
        <v>626.4</v>
      </c>
      <c r="O14" s="11">
        <f t="shared" si="3"/>
        <v>626.4</v>
      </c>
      <c r="P14" s="11">
        <f t="shared" si="1"/>
        <v>7516.7999999999984</v>
      </c>
    </row>
    <row r="15" spans="1:18" x14ac:dyDescent="0.4">
      <c r="A15" s="1" t="s">
        <v>66</v>
      </c>
      <c r="B15" s="43">
        <v>150000</v>
      </c>
      <c r="C15" s="39">
        <v>50000</v>
      </c>
      <c r="D15" s="11">
        <f>$C$15/12</f>
        <v>4166.666666666667</v>
      </c>
      <c r="E15" s="11">
        <f t="shared" ref="E15:O15" si="4">$C$15/12</f>
        <v>4166.666666666667</v>
      </c>
      <c r="F15" s="11">
        <f t="shared" si="4"/>
        <v>4166.666666666667</v>
      </c>
      <c r="G15" s="11">
        <f t="shared" si="4"/>
        <v>4166.666666666667</v>
      </c>
      <c r="H15" s="11">
        <f t="shared" si="4"/>
        <v>4166.666666666667</v>
      </c>
      <c r="I15" s="11">
        <f t="shared" si="4"/>
        <v>4166.666666666667</v>
      </c>
      <c r="J15" s="11">
        <f t="shared" si="4"/>
        <v>4166.666666666667</v>
      </c>
      <c r="K15" s="11">
        <f t="shared" si="4"/>
        <v>4166.666666666667</v>
      </c>
      <c r="L15" s="11">
        <f t="shared" si="4"/>
        <v>4166.666666666667</v>
      </c>
      <c r="M15" s="11">
        <f t="shared" si="4"/>
        <v>4166.666666666667</v>
      </c>
      <c r="N15" s="11">
        <f t="shared" si="4"/>
        <v>4166.666666666667</v>
      </c>
      <c r="O15" s="11">
        <f t="shared" si="4"/>
        <v>4166.666666666667</v>
      </c>
      <c r="P15" s="11">
        <f t="shared" si="1"/>
        <v>49999.999999999993</v>
      </c>
    </row>
    <row r="16" spans="1:18" x14ac:dyDescent="0.4">
      <c r="A16" s="1" t="s">
        <v>39</v>
      </c>
      <c r="B16" s="35" t="s">
        <v>59</v>
      </c>
      <c r="C16" s="35"/>
      <c r="D16" s="12">
        <f>4*600</f>
        <v>2400</v>
      </c>
      <c r="E16" s="12">
        <f>D16</f>
        <v>2400</v>
      </c>
      <c r="F16" s="12">
        <f t="shared" ref="F16:O16" si="5">E16</f>
        <v>2400</v>
      </c>
      <c r="G16" s="12">
        <f t="shared" si="5"/>
        <v>2400</v>
      </c>
      <c r="H16" s="12">
        <f t="shared" si="5"/>
        <v>2400</v>
      </c>
      <c r="I16" s="12">
        <f t="shared" si="5"/>
        <v>2400</v>
      </c>
      <c r="J16" s="12">
        <f t="shared" si="5"/>
        <v>2400</v>
      </c>
      <c r="K16" s="12">
        <f t="shared" si="5"/>
        <v>2400</v>
      </c>
      <c r="L16" s="12">
        <f t="shared" si="5"/>
        <v>2400</v>
      </c>
      <c r="M16" s="12">
        <f t="shared" si="5"/>
        <v>2400</v>
      </c>
      <c r="N16" s="12">
        <f t="shared" si="5"/>
        <v>2400</v>
      </c>
      <c r="O16" s="12">
        <f t="shared" si="5"/>
        <v>2400</v>
      </c>
      <c r="P16" s="11">
        <f t="shared" si="1"/>
        <v>28800</v>
      </c>
    </row>
    <row r="17" spans="1:16" x14ac:dyDescent="0.4">
      <c r="A17" s="1" t="s">
        <v>40</v>
      </c>
      <c r="B17" s="44">
        <v>1000</v>
      </c>
      <c r="C17" s="35"/>
      <c r="D17" s="12"/>
      <c r="E17" s="12"/>
      <c r="F17" s="12"/>
      <c r="G17" s="12"/>
      <c r="H17" s="12"/>
      <c r="I17" s="12"/>
      <c r="J17" s="12">
        <v>1250</v>
      </c>
      <c r="K17" s="12"/>
      <c r="L17" s="12"/>
      <c r="M17" s="12"/>
      <c r="N17" s="12"/>
      <c r="O17" s="12"/>
      <c r="P17" s="11">
        <f t="shared" si="1"/>
        <v>1250</v>
      </c>
    </row>
    <row r="18" spans="1:16" x14ac:dyDescent="0.4">
      <c r="A18" s="1" t="s">
        <v>67</v>
      </c>
      <c r="B18" s="39">
        <f>2500</f>
        <v>2500</v>
      </c>
      <c r="C18" s="35"/>
      <c r="D18" s="12">
        <v>300</v>
      </c>
      <c r="E18" s="12">
        <v>300</v>
      </c>
      <c r="F18" s="12">
        <v>300</v>
      </c>
      <c r="G18" s="12">
        <v>300</v>
      </c>
      <c r="H18" s="12">
        <v>300</v>
      </c>
      <c r="I18" s="12">
        <v>300</v>
      </c>
      <c r="J18" s="12">
        <v>300</v>
      </c>
      <c r="K18" s="12">
        <v>300</v>
      </c>
      <c r="L18" s="12">
        <v>300</v>
      </c>
      <c r="M18" s="12">
        <v>300</v>
      </c>
      <c r="N18" s="12">
        <v>300</v>
      </c>
      <c r="O18" s="12">
        <v>300</v>
      </c>
      <c r="P18" s="11">
        <f>SUM(D18:O18)</f>
        <v>3600</v>
      </c>
    </row>
    <row r="19" spans="1:16" x14ac:dyDescent="0.4">
      <c r="A19" s="1" t="s">
        <v>41</v>
      </c>
      <c r="B19" s="39">
        <v>22022</v>
      </c>
      <c r="C19" s="43">
        <v>23123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1">
        <f>C19</f>
        <v>23123</v>
      </c>
      <c r="O19" s="1"/>
      <c r="P19" s="11">
        <f>SUM(D19:O19)</f>
        <v>23123</v>
      </c>
    </row>
    <row r="20" spans="1:16" x14ac:dyDescent="0.4">
      <c r="A20" s="1" t="s">
        <v>42</v>
      </c>
      <c r="B20" s="39">
        <v>10189</v>
      </c>
      <c r="C20" s="39">
        <f>P20</f>
        <v>10393.08</v>
      </c>
      <c r="D20" s="12">
        <v>866.09</v>
      </c>
      <c r="E20" s="12">
        <v>866.09</v>
      </c>
      <c r="F20" s="12">
        <v>866.09</v>
      </c>
      <c r="G20" s="12">
        <v>866.09</v>
      </c>
      <c r="H20" s="12">
        <v>866.09</v>
      </c>
      <c r="I20" s="12">
        <v>866.09</v>
      </c>
      <c r="J20" s="12">
        <v>866.09</v>
      </c>
      <c r="K20" s="12">
        <v>866.09</v>
      </c>
      <c r="L20" s="12">
        <v>866.09</v>
      </c>
      <c r="M20" s="12">
        <v>866.09</v>
      </c>
      <c r="N20" s="12">
        <v>866.09</v>
      </c>
      <c r="O20" s="12">
        <v>866.09</v>
      </c>
      <c r="P20" s="11">
        <f t="shared" ref="P20:P32" si="6">SUM(D20:O20)</f>
        <v>10393.08</v>
      </c>
    </row>
    <row r="21" spans="1:16" x14ac:dyDescent="0.4">
      <c r="A21" s="1" t="s">
        <v>48</v>
      </c>
      <c r="B21" s="39">
        <v>26500</v>
      </c>
      <c r="C21" s="43">
        <v>19500</v>
      </c>
      <c r="D21" s="1"/>
      <c r="E21" s="1"/>
      <c r="F21" s="12">
        <f>C21</f>
        <v>19500</v>
      </c>
      <c r="G21" s="1"/>
      <c r="H21" s="1"/>
      <c r="I21" s="1"/>
      <c r="J21" s="1"/>
      <c r="K21" s="1"/>
      <c r="L21" s="1"/>
      <c r="M21" s="1"/>
      <c r="N21" s="11"/>
      <c r="O21" s="1"/>
      <c r="P21" s="11">
        <f t="shared" si="6"/>
        <v>19500</v>
      </c>
    </row>
    <row r="22" spans="1:16" x14ac:dyDescent="0.4">
      <c r="A22" s="1" t="s">
        <v>44</v>
      </c>
      <c r="B22" s="39">
        <v>16679.91</v>
      </c>
      <c r="C22" s="35"/>
      <c r="D22" s="1"/>
      <c r="E22" s="1"/>
      <c r="F22" s="1"/>
      <c r="G22" s="1"/>
      <c r="H22" s="1"/>
      <c r="I22" s="1"/>
      <c r="J22" s="1"/>
      <c r="K22" s="1"/>
      <c r="L22" s="1"/>
      <c r="M22" s="1"/>
      <c r="N22" s="45"/>
      <c r="O22" s="11">
        <f>B22</f>
        <v>16679.91</v>
      </c>
      <c r="P22" s="11">
        <f t="shared" si="6"/>
        <v>16679.91</v>
      </c>
    </row>
    <row r="23" spans="1:16" s="33" customFormat="1" x14ac:dyDescent="0.4">
      <c r="A23" s="45" t="s">
        <v>53</v>
      </c>
      <c r="B23" s="39">
        <f>750+2325</f>
        <v>3075</v>
      </c>
      <c r="C23" s="35"/>
      <c r="D23" s="45"/>
      <c r="E23" s="45"/>
      <c r="F23" s="45"/>
      <c r="G23" s="45"/>
      <c r="H23" s="45"/>
      <c r="I23" s="45"/>
      <c r="J23" s="46">
        <f>B23</f>
        <v>3075</v>
      </c>
      <c r="K23" s="45"/>
      <c r="L23" s="45"/>
      <c r="M23" s="45"/>
      <c r="N23" s="45"/>
      <c r="O23" s="45"/>
      <c r="P23" s="11">
        <f t="shared" si="6"/>
        <v>3075</v>
      </c>
    </row>
    <row r="24" spans="1:16" s="33" customFormat="1" x14ac:dyDescent="0.4">
      <c r="A24" s="1" t="s">
        <v>45</v>
      </c>
      <c r="B24" s="39">
        <f>2350+1600</f>
        <v>3950</v>
      </c>
      <c r="C24" s="35"/>
      <c r="D24" s="45"/>
      <c r="E24" s="45"/>
      <c r="F24" s="45"/>
      <c r="G24" s="45"/>
      <c r="H24" s="45"/>
      <c r="I24" s="45"/>
      <c r="J24" s="12">
        <f>2350*(1+C5)</f>
        <v>2585</v>
      </c>
      <c r="K24" s="45"/>
      <c r="L24" s="45"/>
      <c r="M24" s="45"/>
      <c r="N24" s="1"/>
      <c r="O24" s="45"/>
      <c r="P24" s="11">
        <f t="shared" si="6"/>
        <v>2585</v>
      </c>
    </row>
    <row r="25" spans="1:16" x14ac:dyDescent="0.4">
      <c r="A25" s="1" t="s">
        <v>52</v>
      </c>
      <c r="B25" s="43">
        <v>100</v>
      </c>
      <c r="C25" s="43">
        <v>600</v>
      </c>
      <c r="D25" s="12">
        <v>50</v>
      </c>
      <c r="E25" s="12">
        <f>D25</f>
        <v>50</v>
      </c>
      <c r="F25" s="12">
        <f t="shared" ref="F25:O25" si="7">E25</f>
        <v>50</v>
      </c>
      <c r="G25" s="12">
        <f t="shared" si="7"/>
        <v>50</v>
      </c>
      <c r="H25" s="12">
        <f t="shared" si="7"/>
        <v>50</v>
      </c>
      <c r="I25" s="12">
        <f t="shared" si="7"/>
        <v>50</v>
      </c>
      <c r="J25" s="12">
        <f t="shared" si="7"/>
        <v>50</v>
      </c>
      <c r="K25" s="12">
        <f t="shared" si="7"/>
        <v>50</v>
      </c>
      <c r="L25" s="12">
        <f t="shared" si="7"/>
        <v>50</v>
      </c>
      <c r="M25" s="12">
        <f t="shared" si="7"/>
        <v>50</v>
      </c>
      <c r="N25" s="12">
        <f t="shared" si="7"/>
        <v>50</v>
      </c>
      <c r="O25" s="12">
        <f t="shared" si="7"/>
        <v>50</v>
      </c>
      <c r="P25" s="11">
        <f t="shared" si="6"/>
        <v>600</v>
      </c>
    </row>
    <row r="26" spans="1:16" x14ac:dyDescent="0.4">
      <c r="A26" s="1" t="s">
        <v>58</v>
      </c>
      <c r="B26" s="43"/>
      <c r="C26" s="105">
        <v>1000</v>
      </c>
      <c r="D26" s="12">
        <f>$C$26/12</f>
        <v>83.333333333333329</v>
      </c>
      <c r="E26" s="12">
        <f t="shared" ref="E26:O26" si="8">$C$26/12</f>
        <v>83.333333333333329</v>
      </c>
      <c r="F26" s="12">
        <f t="shared" si="8"/>
        <v>83.333333333333329</v>
      </c>
      <c r="G26" s="12">
        <f t="shared" si="8"/>
        <v>83.333333333333329</v>
      </c>
      <c r="H26" s="12">
        <f t="shared" si="8"/>
        <v>83.333333333333329</v>
      </c>
      <c r="I26" s="12">
        <f t="shared" si="8"/>
        <v>83.333333333333329</v>
      </c>
      <c r="J26" s="12">
        <f t="shared" si="8"/>
        <v>83.333333333333329</v>
      </c>
      <c r="K26" s="12">
        <f t="shared" si="8"/>
        <v>83.333333333333329</v>
      </c>
      <c r="L26" s="12">
        <f t="shared" si="8"/>
        <v>83.333333333333329</v>
      </c>
      <c r="M26" s="12">
        <f t="shared" si="8"/>
        <v>83.333333333333329</v>
      </c>
      <c r="N26" s="12">
        <f t="shared" si="8"/>
        <v>83.333333333333329</v>
      </c>
      <c r="O26" s="12">
        <f t="shared" si="8"/>
        <v>83.333333333333329</v>
      </c>
      <c r="P26" s="11">
        <f>SUM(D26:O26)</f>
        <v>1000.0000000000001</v>
      </c>
    </row>
    <row r="27" spans="1:16" x14ac:dyDescent="0.4">
      <c r="A27" s="1" t="s">
        <v>55</v>
      </c>
      <c r="B27" s="51">
        <v>0</v>
      </c>
      <c r="C27" s="43">
        <v>720</v>
      </c>
      <c r="D27" s="12">
        <f>$C$27</f>
        <v>720</v>
      </c>
      <c r="E27" s="12">
        <f t="shared" ref="E27:O27" si="9">$C$27</f>
        <v>720</v>
      </c>
      <c r="F27" s="12">
        <f t="shared" si="9"/>
        <v>720</v>
      </c>
      <c r="G27" s="12">
        <f t="shared" si="9"/>
        <v>720</v>
      </c>
      <c r="H27" s="12">
        <f t="shared" si="9"/>
        <v>720</v>
      </c>
      <c r="I27" s="12">
        <f t="shared" si="9"/>
        <v>720</v>
      </c>
      <c r="J27" s="12">
        <f t="shared" si="9"/>
        <v>720</v>
      </c>
      <c r="K27" s="12">
        <f t="shared" si="9"/>
        <v>720</v>
      </c>
      <c r="L27" s="12">
        <f t="shared" si="9"/>
        <v>720</v>
      </c>
      <c r="M27" s="12">
        <f t="shared" si="9"/>
        <v>720</v>
      </c>
      <c r="N27" s="12">
        <f t="shared" si="9"/>
        <v>720</v>
      </c>
      <c r="O27" s="12">
        <f t="shared" si="9"/>
        <v>720</v>
      </c>
      <c r="P27" s="11">
        <f t="shared" si="6"/>
        <v>8640</v>
      </c>
    </row>
    <row r="28" spans="1:16" x14ac:dyDescent="0.4">
      <c r="A28" s="1" t="s">
        <v>50</v>
      </c>
      <c r="B28" s="51">
        <v>0</v>
      </c>
      <c r="C28" s="35"/>
      <c r="D28" s="1"/>
      <c r="E28" s="1"/>
      <c r="F28" s="1"/>
      <c r="G28" s="1"/>
      <c r="H28" s="1"/>
      <c r="I28" s="1"/>
      <c r="J28" s="12">
        <v>1000</v>
      </c>
      <c r="K28" s="1"/>
      <c r="L28" s="1"/>
      <c r="M28" s="1"/>
      <c r="N28" s="1"/>
      <c r="O28" s="1"/>
      <c r="P28" s="11">
        <f t="shared" si="6"/>
        <v>1000</v>
      </c>
    </row>
    <row r="29" spans="1:16" x14ac:dyDescent="0.4">
      <c r="A29" s="1" t="s">
        <v>56</v>
      </c>
      <c r="B29" s="43">
        <v>105</v>
      </c>
      <c r="C29" s="39">
        <v>105</v>
      </c>
      <c r="D29" s="11">
        <v>105</v>
      </c>
      <c r="E29" s="11">
        <v>105</v>
      </c>
      <c r="F29" s="11">
        <v>105</v>
      </c>
      <c r="G29" s="11">
        <v>105</v>
      </c>
      <c r="H29" s="11">
        <v>105</v>
      </c>
      <c r="I29" s="11">
        <v>105</v>
      </c>
      <c r="J29" s="11">
        <v>105</v>
      </c>
      <c r="K29" s="11">
        <v>105</v>
      </c>
      <c r="L29" s="11">
        <v>105</v>
      </c>
      <c r="M29" s="11">
        <v>105</v>
      </c>
      <c r="N29" s="11">
        <v>105</v>
      </c>
      <c r="O29" s="11">
        <v>105</v>
      </c>
      <c r="P29" s="11">
        <f t="shared" si="6"/>
        <v>1260</v>
      </c>
    </row>
    <row r="30" spans="1:16" x14ac:dyDescent="0.4">
      <c r="A30" s="1" t="s">
        <v>73</v>
      </c>
      <c r="B30" s="51">
        <v>0</v>
      </c>
      <c r="C30" s="103">
        <v>100</v>
      </c>
      <c r="D30" s="11">
        <f>$C$30</f>
        <v>100</v>
      </c>
      <c r="E30" s="11">
        <f t="shared" ref="E30:O30" si="10">$C$30</f>
        <v>100</v>
      </c>
      <c r="F30" s="11">
        <f t="shared" si="10"/>
        <v>100</v>
      </c>
      <c r="G30" s="11">
        <f t="shared" si="10"/>
        <v>100</v>
      </c>
      <c r="H30" s="11">
        <f t="shared" si="10"/>
        <v>100</v>
      </c>
      <c r="I30" s="11">
        <f t="shared" si="10"/>
        <v>100</v>
      </c>
      <c r="J30" s="11">
        <f t="shared" si="10"/>
        <v>100</v>
      </c>
      <c r="K30" s="11">
        <f t="shared" si="10"/>
        <v>100</v>
      </c>
      <c r="L30" s="11">
        <f t="shared" si="10"/>
        <v>100</v>
      </c>
      <c r="M30" s="11">
        <f t="shared" si="10"/>
        <v>100</v>
      </c>
      <c r="N30" s="11">
        <f t="shared" si="10"/>
        <v>100</v>
      </c>
      <c r="O30" s="11">
        <f t="shared" si="10"/>
        <v>100</v>
      </c>
      <c r="P30" s="11">
        <f t="shared" si="6"/>
        <v>1200</v>
      </c>
    </row>
    <row r="31" spans="1:16" x14ac:dyDescent="0.4">
      <c r="A31" s="1" t="s">
        <v>74</v>
      </c>
      <c r="B31" s="51">
        <v>0</v>
      </c>
      <c r="C31" s="103">
        <v>5000</v>
      </c>
      <c r="D31" s="12">
        <v>5000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>
        <f t="shared" si="6"/>
        <v>5000</v>
      </c>
    </row>
    <row r="32" spans="1:16" x14ac:dyDescent="0.4">
      <c r="A32" s="1" t="s">
        <v>81</v>
      </c>
      <c r="B32" s="51">
        <v>0</v>
      </c>
      <c r="C32" s="104">
        <v>3154</v>
      </c>
      <c r="D32" s="11">
        <f>C32</f>
        <v>3154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>
        <f t="shared" si="6"/>
        <v>3154</v>
      </c>
    </row>
    <row r="33" spans="1:17" x14ac:dyDescent="0.4">
      <c r="A33" s="47" t="s">
        <v>68</v>
      </c>
      <c r="B33" s="35"/>
      <c r="C33" s="35"/>
      <c r="D33" s="48">
        <f>SUM(D13:D32)</f>
        <v>22791.489999999998</v>
      </c>
      <c r="E33" s="48">
        <f t="shared" ref="E33:O33" si="11">SUM(E13:E32)</f>
        <v>14637.49</v>
      </c>
      <c r="F33" s="48">
        <f t="shared" si="11"/>
        <v>34137.49</v>
      </c>
      <c r="G33" s="48">
        <f t="shared" si="11"/>
        <v>14637.49</v>
      </c>
      <c r="H33" s="48">
        <f t="shared" si="11"/>
        <v>14637.49</v>
      </c>
      <c r="I33" s="48">
        <f t="shared" si="11"/>
        <v>14637.49</v>
      </c>
      <c r="J33" s="48">
        <f t="shared" si="11"/>
        <v>22547.489999999998</v>
      </c>
      <c r="K33" s="48">
        <f t="shared" si="11"/>
        <v>14637.49</v>
      </c>
      <c r="L33" s="48">
        <f t="shared" si="11"/>
        <v>14637.49</v>
      </c>
      <c r="M33" s="48">
        <f t="shared" si="11"/>
        <v>14637.49</v>
      </c>
      <c r="N33" s="48">
        <f t="shared" si="11"/>
        <v>37760.49</v>
      </c>
      <c r="O33" s="48">
        <f t="shared" si="11"/>
        <v>31317.399999999998</v>
      </c>
      <c r="P33" s="48">
        <f>SUM(D33:O33)</f>
        <v>251016.78999999998</v>
      </c>
      <c r="Q33" s="22">
        <f>SUM(P13:P32)</f>
        <v>251016.78999999998</v>
      </c>
    </row>
    <row r="34" spans="1:17" x14ac:dyDescent="0.4">
      <c r="A34" s="1" t="s">
        <v>69</v>
      </c>
      <c r="B34" s="38">
        <v>0.1</v>
      </c>
      <c r="C34" s="35"/>
      <c r="D34" s="11">
        <f>D33*($B$34)</f>
        <v>2279.1489999999999</v>
      </c>
      <c r="E34" s="11">
        <f t="shared" ref="E34:O34" si="12">E33*($B$34)</f>
        <v>1463.749</v>
      </c>
      <c r="F34" s="11">
        <f t="shared" si="12"/>
        <v>3413.7489999999998</v>
      </c>
      <c r="G34" s="11">
        <f t="shared" si="12"/>
        <v>1463.749</v>
      </c>
      <c r="H34" s="11">
        <f t="shared" si="12"/>
        <v>1463.749</v>
      </c>
      <c r="I34" s="11">
        <f t="shared" si="12"/>
        <v>1463.749</v>
      </c>
      <c r="J34" s="11">
        <f t="shared" si="12"/>
        <v>2254.7489999999998</v>
      </c>
      <c r="K34" s="11">
        <f t="shared" si="12"/>
        <v>1463.749</v>
      </c>
      <c r="L34" s="11">
        <f t="shared" si="12"/>
        <v>1463.749</v>
      </c>
      <c r="M34" s="11">
        <f t="shared" si="12"/>
        <v>1463.749</v>
      </c>
      <c r="N34" s="11">
        <f t="shared" si="12"/>
        <v>3776.049</v>
      </c>
      <c r="O34" s="11">
        <f t="shared" si="12"/>
        <v>3131.74</v>
      </c>
      <c r="P34" s="11">
        <f>SUM(D34:O34)</f>
        <v>25101.678999999996</v>
      </c>
      <c r="Q34" s="22">
        <f>P33+P34</f>
        <v>276118.46899999998</v>
      </c>
    </row>
    <row r="35" spans="1:17" x14ac:dyDescent="0.4">
      <c r="A35" s="1"/>
      <c r="B35" s="35"/>
      <c r="C35" s="35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7" x14ac:dyDescent="0.4">
      <c r="A36" s="1" t="s">
        <v>70</v>
      </c>
      <c r="B36" s="35"/>
      <c r="C36" s="35"/>
      <c r="D36" s="11">
        <f t="shared" ref="D36:O36" si="13">D10-D33-D34</f>
        <v>224929.361</v>
      </c>
      <c r="E36" s="11">
        <f t="shared" si="13"/>
        <v>-16101.239</v>
      </c>
      <c r="F36" s="11">
        <f t="shared" si="13"/>
        <v>-37551.239000000001</v>
      </c>
      <c r="G36" s="11">
        <f t="shared" si="13"/>
        <v>-16101.239</v>
      </c>
      <c r="H36" s="11">
        <f t="shared" si="13"/>
        <v>-16101.239</v>
      </c>
      <c r="I36" s="11">
        <f t="shared" si="13"/>
        <v>-16101.239</v>
      </c>
      <c r="J36" s="11">
        <f t="shared" si="13"/>
        <v>-24802.238999999998</v>
      </c>
      <c r="K36" s="11">
        <f t="shared" si="13"/>
        <v>-16101.239</v>
      </c>
      <c r="L36" s="11">
        <f t="shared" si="13"/>
        <v>-16101.239</v>
      </c>
      <c r="M36" s="11">
        <f t="shared" si="13"/>
        <v>-16101.239</v>
      </c>
      <c r="N36" s="11">
        <f t="shared" si="13"/>
        <v>-41536.538999999997</v>
      </c>
      <c r="O36" s="11">
        <f t="shared" si="13"/>
        <v>-34449.14</v>
      </c>
      <c r="P36" s="10">
        <f>SUM(D36:O36)</f>
        <v>-26118.469000000005</v>
      </c>
      <c r="Q36" s="22">
        <f>SUM(P13:P32)</f>
        <v>251016.78999999998</v>
      </c>
    </row>
    <row r="37" spans="1:17" x14ac:dyDescent="0.4">
      <c r="A37" s="41" t="s">
        <v>49</v>
      </c>
      <c r="B37" s="35"/>
      <c r="C37" s="35"/>
      <c r="D37" s="42">
        <f>D36</f>
        <v>224929.361</v>
      </c>
      <c r="E37" s="42">
        <f>D37+E36</f>
        <v>208828.122</v>
      </c>
      <c r="F37" s="42">
        <f t="shared" ref="F37:O37" si="14">E37+F36</f>
        <v>171276.883</v>
      </c>
      <c r="G37" s="42">
        <f t="shared" si="14"/>
        <v>155175.644</v>
      </c>
      <c r="H37" s="42">
        <f t="shared" si="14"/>
        <v>139074.405</v>
      </c>
      <c r="I37" s="42">
        <f t="shared" si="14"/>
        <v>122973.166</v>
      </c>
      <c r="J37" s="42">
        <f t="shared" si="14"/>
        <v>98170.926999999996</v>
      </c>
      <c r="K37" s="42">
        <f t="shared" si="14"/>
        <v>82069.687999999995</v>
      </c>
      <c r="L37" s="42">
        <f t="shared" si="14"/>
        <v>65968.448999999993</v>
      </c>
      <c r="M37" s="42">
        <f t="shared" si="14"/>
        <v>49867.209999999992</v>
      </c>
      <c r="N37" s="42">
        <f t="shared" si="14"/>
        <v>8330.6709999999948</v>
      </c>
      <c r="O37" s="52">
        <f t="shared" si="14"/>
        <v>-26118.469000000005</v>
      </c>
      <c r="P37" s="1"/>
    </row>
    <row r="38" spans="1:17" x14ac:dyDescent="0.4">
      <c r="A38" s="1" t="s">
        <v>60</v>
      </c>
      <c r="B38" s="35"/>
      <c r="C38" s="3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58">
        <f>-P36</f>
        <v>26118.469000000005</v>
      </c>
    </row>
    <row r="39" spans="1:17" x14ac:dyDescent="0.4">
      <c r="A39" s="1"/>
      <c r="B39" s="35"/>
      <c r="C39" s="35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</sheetData>
  <mergeCells count="1">
    <mergeCell ref="B3:C3"/>
  </mergeCells>
  <pageMargins left="0.7" right="0.7" top="0.75" bottom="0.75" header="0.3" footer="0.3"/>
  <pageSetup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B4D50-DC25-4C65-BF30-5D9BD4A0A670}">
  <dimension ref="A1:B9"/>
  <sheetViews>
    <sheetView workbookViewId="0">
      <selection activeCell="G8" sqref="G8"/>
    </sheetView>
  </sheetViews>
  <sheetFormatPr defaultRowHeight="14.6" x14ac:dyDescent="0.4"/>
  <cols>
    <col min="1" max="1" width="32" bestFit="1" customWidth="1"/>
    <col min="2" max="2" width="12.07421875" bestFit="1" customWidth="1"/>
  </cols>
  <sheetData>
    <row r="1" spans="1:2" x14ac:dyDescent="0.4">
      <c r="A1" s="60" t="s">
        <v>75</v>
      </c>
    </row>
    <row r="2" spans="1:2" x14ac:dyDescent="0.4">
      <c r="A2" s="61" t="s">
        <v>76</v>
      </c>
    </row>
    <row r="3" spans="1:2" x14ac:dyDescent="0.4">
      <c r="A3" t="s">
        <v>77</v>
      </c>
      <c r="B3" s="21">
        <v>245000</v>
      </c>
    </row>
    <row r="4" spans="1:2" x14ac:dyDescent="0.4">
      <c r="A4" t="s">
        <v>133</v>
      </c>
      <c r="B4" s="21">
        <f>4600*1.1-'Board Budget FY23'!C26</f>
        <v>4060</v>
      </c>
    </row>
    <row r="6" spans="1:2" x14ac:dyDescent="0.4">
      <c r="A6" s="61" t="s">
        <v>78</v>
      </c>
    </row>
    <row r="7" spans="1:2" x14ac:dyDescent="0.4">
      <c r="A7" t="s">
        <v>72</v>
      </c>
      <c r="B7" s="21">
        <f>'Board Budget FY23'!D30</f>
        <v>100</v>
      </c>
    </row>
    <row r="8" spans="1:2" x14ac:dyDescent="0.4">
      <c r="A8" t="s">
        <v>79</v>
      </c>
      <c r="B8" s="21">
        <f>'Board Budget FY23'!D31</f>
        <v>5000</v>
      </c>
    </row>
    <row r="9" spans="1:2" x14ac:dyDescent="0.4">
      <c r="A9" t="s">
        <v>80</v>
      </c>
      <c r="B9" s="21">
        <f>'Board Budget FY23'!D32</f>
        <v>3154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A6454-FD1A-47D5-990B-219248727887}">
  <dimension ref="A1:G41"/>
  <sheetViews>
    <sheetView topLeftCell="A16" workbookViewId="0">
      <selection activeCell="D1" sqref="D1:G6"/>
    </sheetView>
  </sheetViews>
  <sheetFormatPr defaultRowHeight="14.6" x14ac:dyDescent="0.4"/>
  <cols>
    <col min="1" max="1" width="32.07421875" bestFit="1" customWidth="1"/>
    <col min="2" max="2" width="12.15234375" bestFit="1" customWidth="1"/>
    <col min="3" max="3" width="13.07421875" bestFit="1" customWidth="1"/>
    <col min="4" max="4" width="18.07421875" bestFit="1" customWidth="1"/>
    <col min="5" max="5" width="13.84375" bestFit="1" customWidth="1"/>
    <col min="6" max="6" width="13" bestFit="1" customWidth="1"/>
    <col min="7" max="7" width="9.53515625" bestFit="1" customWidth="1"/>
  </cols>
  <sheetData>
    <row r="1" spans="1:7" x14ac:dyDescent="0.4">
      <c r="A1" s="1"/>
      <c r="B1" s="1"/>
      <c r="C1" s="1"/>
    </row>
    <row r="2" spans="1:7" ht="20.149999999999999" customHeight="1" x14ac:dyDescent="0.4">
      <c r="A2" s="78" t="s">
        <v>114</v>
      </c>
      <c r="B2" s="1"/>
      <c r="C2" s="1"/>
      <c r="D2" s="61"/>
      <c r="E2" s="62"/>
      <c r="F2" s="61"/>
    </row>
    <row r="3" spans="1:7" x14ac:dyDescent="0.4">
      <c r="A3" s="63" t="s">
        <v>84</v>
      </c>
      <c r="B3" s="12"/>
      <c r="C3" s="1"/>
      <c r="E3" s="21"/>
      <c r="F3" s="21"/>
    </row>
    <row r="4" spans="1:7" x14ac:dyDescent="0.4">
      <c r="A4" s="11" t="s">
        <v>85</v>
      </c>
      <c r="B4" s="12">
        <f>10000000</f>
        <v>10000000</v>
      </c>
      <c r="C4" s="1"/>
      <c r="E4" s="21"/>
      <c r="F4" s="21"/>
      <c r="G4" s="22"/>
    </row>
    <row r="5" spans="1:7" x14ac:dyDescent="0.4">
      <c r="A5" s="11" t="s">
        <v>86</v>
      </c>
      <c r="B5" s="12">
        <v>117256.79</v>
      </c>
      <c r="C5" s="1"/>
      <c r="E5" s="21"/>
      <c r="F5" s="21"/>
    </row>
    <row r="6" spans="1:7" x14ac:dyDescent="0.4">
      <c r="A6" s="11" t="s">
        <v>87</v>
      </c>
      <c r="B6" s="12">
        <f>383991.67+162889+3315411.48-B16-B15</f>
        <v>220718.14999999991</v>
      </c>
      <c r="C6" s="1"/>
    </row>
    <row r="7" spans="1:7" x14ac:dyDescent="0.4">
      <c r="A7" s="11" t="s">
        <v>88</v>
      </c>
      <c r="B7" s="64">
        <v>3483263.5</v>
      </c>
      <c r="C7" s="1"/>
    </row>
    <row r="8" spans="1:7" ht="15" thickBot="1" x14ac:dyDescent="0.45">
      <c r="A8" s="17" t="s">
        <v>89</v>
      </c>
      <c r="B8" s="65">
        <f>SUM(B4:B7)</f>
        <v>13821238.439999999</v>
      </c>
      <c r="C8" s="1"/>
    </row>
    <row r="9" spans="1:7" ht="15" thickTop="1" x14ac:dyDescent="0.4">
      <c r="A9" s="17"/>
      <c r="B9" s="12"/>
      <c r="C9" s="1"/>
    </row>
    <row r="10" spans="1:7" x14ac:dyDescent="0.4">
      <c r="A10" s="66" t="s">
        <v>90</v>
      </c>
      <c r="B10" s="12"/>
      <c r="C10" s="1"/>
    </row>
    <row r="11" spans="1:7" ht="15" thickBot="1" x14ac:dyDescent="0.45">
      <c r="A11" s="11" t="s">
        <v>91</v>
      </c>
      <c r="B11" s="65">
        <v>2300000</v>
      </c>
      <c r="C11" s="1"/>
    </row>
    <row r="12" spans="1:7" ht="15" thickTop="1" x14ac:dyDescent="0.4">
      <c r="A12" s="11"/>
      <c r="B12" s="12"/>
      <c r="C12" s="1"/>
    </row>
    <row r="13" spans="1:7" x14ac:dyDescent="0.4">
      <c r="A13" s="66" t="s">
        <v>92</v>
      </c>
      <c r="B13" s="12"/>
      <c r="C13" s="1"/>
    </row>
    <row r="14" spans="1:7" x14ac:dyDescent="0.4">
      <c r="A14" s="11" t="s">
        <v>93</v>
      </c>
      <c r="B14" s="12">
        <v>886415.23</v>
      </c>
      <c r="C14" s="1"/>
    </row>
    <row r="15" spans="1:7" x14ac:dyDescent="0.4">
      <c r="A15" s="11" t="s">
        <v>94</v>
      </c>
      <c r="B15" s="12">
        <v>2060000</v>
      </c>
      <c r="C15" s="1"/>
    </row>
    <row r="16" spans="1:7" x14ac:dyDescent="0.4">
      <c r="A16" s="11" t="s">
        <v>95</v>
      </c>
      <c r="B16" s="12">
        <v>1581574</v>
      </c>
      <c r="C16" s="1"/>
    </row>
    <row r="17" spans="1:3" ht="15" thickBot="1" x14ac:dyDescent="0.45">
      <c r="A17" s="17" t="s">
        <v>89</v>
      </c>
      <c r="B17" s="67">
        <f>B14+B15+B16</f>
        <v>4527989.2300000004</v>
      </c>
      <c r="C17" s="1"/>
    </row>
    <row r="18" spans="1:3" ht="15" thickTop="1" x14ac:dyDescent="0.4">
      <c r="A18" s="17"/>
      <c r="B18" s="12"/>
      <c r="C18" s="1"/>
    </row>
    <row r="19" spans="1:3" x14ac:dyDescent="0.4">
      <c r="A19" s="68" t="s">
        <v>96</v>
      </c>
      <c r="B19" s="69">
        <f>B8+B11+B17</f>
        <v>20649227.670000002</v>
      </c>
      <c r="C19" s="1"/>
    </row>
    <row r="20" spans="1:3" x14ac:dyDescent="0.4">
      <c r="A20" s="68"/>
      <c r="B20" s="12"/>
      <c r="C20" s="1"/>
    </row>
    <row r="21" spans="1:3" ht="15.9" x14ac:dyDescent="0.45">
      <c r="A21" s="70" t="s">
        <v>97</v>
      </c>
      <c r="B21" s="12"/>
      <c r="C21" s="1"/>
    </row>
    <row r="22" spans="1:3" x14ac:dyDescent="0.4">
      <c r="A22" s="66" t="s">
        <v>98</v>
      </c>
      <c r="B22" s="12">
        <f>25215842-16445600</f>
        <v>8770242</v>
      </c>
      <c r="C22" s="71" t="s">
        <v>99</v>
      </c>
    </row>
    <row r="23" spans="1:3" x14ac:dyDescent="0.4">
      <c r="A23" s="66" t="s">
        <v>100</v>
      </c>
      <c r="B23" s="12">
        <f>3226630+600000</f>
        <v>3826630</v>
      </c>
      <c r="C23" s="71" t="s">
        <v>101</v>
      </c>
    </row>
    <row r="24" spans="1:3" x14ac:dyDescent="0.4">
      <c r="A24" s="66" t="s">
        <v>102</v>
      </c>
      <c r="B24" s="12">
        <v>117490</v>
      </c>
      <c r="C24" s="71" t="s">
        <v>99</v>
      </c>
    </row>
    <row r="25" spans="1:3" ht="15.9" x14ac:dyDescent="0.45">
      <c r="A25" s="72"/>
      <c r="B25" s="12"/>
      <c r="C25" s="1"/>
    </row>
    <row r="26" spans="1:3" ht="15.9" x14ac:dyDescent="0.45">
      <c r="A26" s="73" t="s">
        <v>103</v>
      </c>
      <c r="B26" s="69">
        <f>SUM(B22:B24)</f>
        <v>12714362</v>
      </c>
      <c r="C26" s="1"/>
    </row>
    <row r="27" spans="1:3" ht="15.9" x14ac:dyDescent="0.45">
      <c r="A27" s="73" t="s">
        <v>104</v>
      </c>
      <c r="B27" s="69">
        <f>B26+B19</f>
        <v>33363589.670000002</v>
      </c>
      <c r="C27" s="1"/>
    </row>
    <row r="28" spans="1:3" x14ac:dyDescent="0.4">
      <c r="A28" s="17"/>
      <c r="B28" s="12"/>
      <c r="C28" s="1"/>
    </row>
    <row r="29" spans="1:3" ht="19.3" customHeight="1" x14ac:dyDescent="0.4">
      <c r="A29" s="79" t="s">
        <v>105</v>
      </c>
      <c r="B29" s="12"/>
      <c r="C29" s="1"/>
    </row>
    <row r="30" spans="1:3" x14ac:dyDescent="0.4">
      <c r="A30" s="74" t="s">
        <v>106</v>
      </c>
      <c r="B30" s="12"/>
      <c r="C30" s="1"/>
    </row>
    <row r="31" spans="1:3" x14ac:dyDescent="0.4">
      <c r="A31" s="11" t="s">
        <v>107</v>
      </c>
      <c r="B31" s="12">
        <f>1000000*(5.7-4.4)</f>
        <v>1299999.9999999998</v>
      </c>
      <c r="C31" s="1"/>
    </row>
    <row r="32" spans="1:3" x14ac:dyDescent="0.4">
      <c r="A32" s="17"/>
      <c r="B32" s="14"/>
      <c r="C32" s="1"/>
    </row>
    <row r="33" spans="1:3" x14ac:dyDescent="0.4">
      <c r="A33" s="74" t="s">
        <v>108</v>
      </c>
      <c r="B33" s="75"/>
      <c r="C33" s="1"/>
    </row>
    <row r="34" spans="1:3" x14ac:dyDescent="0.4">
      <c r="A34" s="11" t="s">
        <v>109</v>
      </c>
      <c r="B34" s="12">
        <v>3295000</v>
      </c>
      <c r="C34" s="1"/>
    </row>
    <row r="35" spans="1:3" x14ac:dyDescent="0.4">
      <c r="A35" s="11" t="s">
        <v>110</v>
      </c>
      <c r="B35" s="12">
        <f>'HELP II schedule'!F11</f>
        <v>946550.34</v>
      </c>
      <c r="C35" s="1"/>
    </row>
    <row r="36" spans="1:3" x14ac:dyDescent="0.4">
      <c r="A36" s="11" t="s">
        <v>111</v>
      </c>
      <c r="B36" s="12">
        <v>420000</v>
      </c>
      <c r="C36" s="1"/>
    </row>
    <row r="37" spans="1:3" ht="15" thickBot="1" x14ac:dyDescent="0.45">
      <c r="A37" s="17" t="s">
        <v>89</v>
      </c>
      <c r="B37" s="67">
        <f>B34+B35+B36</f>
        <v>4661550.34</v>
      </c>
      <c r="C37" s="1"/>
    </row>
    <row r="38" spans="1:3" ht="15" thickTop="1" x14ac:dyDescent="0.4">
      <c r="A38" s="11"/>
      <c r="B38" s="12"/>
      <c r="C38" s="1"/>
    </row>
    <row r="39" spans="1:3" x14ac:dyDescent="0.4">
      <c r="A39" s="76" t="s">
        <v>112</v>
      </c>
      <c r="B39" s="75">
        <f>B37+B31</f>
        <v>5961550.3399999999</v>
      </c>
      <c r="C39" s="1"/>
    </row>
    <row r="40" spans="1:3" x14ac:dyDescent="0.4">
      <c r="A40" s="11"/>
      <c r="B40" s="12"/>
      <c r="C40" s="1"/>
    </row>
    <row r="41" spans="1:3" x14ac:dyDescent="0.4">
      <c r="A41" s="77" t="s">
        <v>113</v>
      </c>
      <c r="B41" s="69">
        <f>B27-B39</f>
        <v>27402039.330000002</v>
      </c>
      <c r="C41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DBD23-2E4A-48E9-A911-7A3623B66EC8}">
  <dimension ref="A1:H85"/>
  <sheetViews>
    <sheetView topLeftCell="A61" workbookViewId="0">
      <selection activeCell="J14" sqref="J14"/>
    </sheetView>
  </sheetViews>
  <sheetFormatPr defaultRowHeight="14.6" x14ac:dyDescent="0.4"/>
  <cols>
    <col min="1" max="1" width="9.3828125" bestFit="1" customWidth="1"/>
    <col min="3" max="3" width="11.07421875" style="21" bestFit="1" customWidth="1"/>
    <col min="4" max="4" width="12" style="21" bestFit="1" customWidth="1"/>
    <col min="5" max="5" width="13.765625" style="21" bestFit="1" customWidth="1"/>
    <col min="6" max="6" width="13.61328125" style="21" bestFit="1" customWidth="1"/>
  </cols>
  <sheetData>
    <row r="1" spans="1:8" x14ac:dyDescent="0.4">
      <c r="D1" s="21" t="s">
        <v>119</v>
      </c>
      <c r="E1" s="21" t="s">
        <v>82</v>
      </c>
    </row>
    <row r="2" spans="1:8" x14ac:dyDescent="0.4">
      <c r="D2" s="21">
        <f>SUM(D12:D85)</f>
        <v>946550.34000000008</v>
      </c>
      <c r="E2" s="21">
        <f>SUM(E12:E85)</f>
        <v>59445.580000000016</v>
      </c>
      <c r="F2" s="50">
        <f>E2/D2</f>
        <v>6.2802343930276339E-2</v>
      </c>
    </row>
    <row r="5" spans="1:8" x14ac:dyDescent="0.4">
      <c r="C5" s="21" t="s">
        <v>115</v>
      </c>
      <c r="D5" s="21" t="s">
        <v>116</v>
      </c>
      <c r="E5" s="21" t="s">
        <v>117</v>
      </c>
      <c r="F5" s="21" t="s">
        <v>118</v>
      </c>
    </row>
    <row r="6" spans="1:8" x14ac:dyDescent="0.4">
      <c r="A6" s="80">
        <v>44562</v>
      </c>
      <c r="B6">
        <v>41</v>
      </c>
      <c r="C6" s="21">
        <v>13802.02</v>
      </c>
      <c r="D6" s="21">
        <v>12102.9</v>
      </c>
      <c r="E6" s="21">
        <v>1699.12</v>
      </c>
      <c r="F6" s="21">
        <v>1007368.1</v>
      </c>
      <c r="G6" s="50">
        <f>E6/F6</f>
        <v>1.6866922825926293E-3</v>
      </c>
      <c r="H6" s="50">
        <f>12*G6</f>
        <v>2.0240307391111552E-2</v>
      </c>
    </row>
    <row r="7" spans="1:8" x14ac:dyDescent="0.4">
      <c r="A7" s="80">
        <v>44593</v>
      </c>
      <c r="B7">
        <v>42</v>
      </c>
      <c r="C7" s="21">
        <v>13802.02</v>
      </c>
      <c r="D7" s="21">
        <v>12123.07</v>
      </c>
      <c r="E7" s="21">
        <v>1678.95</v>
      </c>
      <c r="F7" s="21">
        <v>995245.03</v>
      </c>
      <c r="G7" s="50">
        <f t="shared" ref="G7:G17" si="0">E7/F7</f>
        <v>1.6869714988679723E-3</v>
      </c>
    </row>
    <row r="8" spans="1:8" x14ac:dyDescent="0.4">
      <c r="A8" s="80">
        <v>44621</v>
      </c>
      <c r="B8">
        <v>43</v>
      </c>
      <c r="C8" s="21">
        <v>13802.02</v>
      </c>
      <c r="D8" s="21">
        <v>12143.28</v>
      </c>
      <c r="E8" s="21">
        <v>1658.74</v>
      </c>
      <c r="F8" s="21">
        <v>983101.75</v>
      </c>
      <c r="G8" s="50">
        <f t="shared" si="0"/>
        <v>1.6872515993385222E-3</v>
      </c>
    </row>
    <row r="9" spans="1:8" x14ac:dyDescent="0.4">
      <c r="A9" s="80">
        <v>44652</v>
      </c>
      <c r="B9">
        <v>44</v>
      </c>
      <c r="C9" s="21">
        <v>13802.02</v>
      </c>
      <c r="D9" s="21">
        <v>12163.52</v>
      </c>
      <c r="E9" s="21">
        <v>1638.5</v>
      </c>
      <c r="F9" s="21">
        <v>970938.23</v>
      </c>
      <c r="G9" s="50">
        <f t="shared" si="0"/>
        <v>1.6875429861279642E-3</v>
      </c>
    </row>
    <row r="10" spans="1:8" x14ac:dyDescent="0.4">
      <c r="A10" s="80">
        <v>44682</v>
      </c>
      <c r="B10">
        <v>45</v>
      </c>
      <c r="C10" s="21">
        <v>13802.02</v>
      </c>
      <c r="D10" s="21">
        <v>12183.79</v>
      </c>
      <c r="E10" s="21">
        <v>1618.23</v>
      </c>
      <c r="F10" s="21">
        <v>958754.44</v>
      </c>
      <c r="G10" s="50">
        <f t="shared" si="0"/>
        <v>1.6878461600657621E-3</v>
      </c>
    </row>
    <row r="11" spans="1:8" x14ac:dyDescent="0.4">
      <c r="A11" s="80">
        <v>44713</v>
      </c>
      <c r="B11">
        <v>46</v>
      </c>
      <c r="C11" s="21">
        <v>13802.02</v>
      </c>
      <c r="D11" s="21">
        <v>12204.1</v>
      </c>
      <c r="E11" s="21">
        <v>1597.92</v>
      </c>
      <c r="F11" s="21">
        <v>946550.34</v>
      </c>
      <c r="G11" s="50">
        <f t="shared" si="0"/>
        <v>1.6881511024548362E-3</v>
      </c>
    </row>
    <row r="12" spans="1:8" x14ac:dyDescent="0.4">
      <c r="A12" s="81">
        <v>44743</v>
      </c>
      <c r="B12" s="82">
        <v>47</v>
      </c>
      <c r="C12" s="83">
        <v>13802.02</v>
      </c>
      <c r="D12" s="83">
        <v>12224.44</v>
      </c>
      <c r="E12" s="83">
        <v>1577.58</v>
      </c>
      <c r="F12" s="83">
        <v>934325.9</v>
      </c>
      <c r="G12" s="50">
        <f t="shared" si="0"/>
        <v>1.688468659597256E-3</v>
      </c>
    </row>
    <row r="13" spans="1:8" x14ac:dyDescent="0.4">
      <c r="A13" s="80">
        <v>44774</v>
      </c>
      <c r="B13">
        <v>48</v>
      </c>
      <c r="C13" s="21">
        <v>13802.02</v>
      </c>
      <c r="D13" s="21">
        <v>12244.81</v>
      </c>
      <c r="E13" s="21">
        <v>1557.21</v>
      </c>
      <c r="F13" s="21">
        <v>922081.09</v>
      </c>
      <c r="G13" s="50">
        <f t="shared" si="0"/>
        <v>1.6887994091712695E-3</v>
      </c>
    </row>
    <row r="14" spans="1:8" x14ac:dyDescent="0.4">
      <c r="A14" s="80">
        <v>44805</v>
      </c>
      <c r="B14">
        <v>49</v>
      </c>
      <c r="C14" s="21">
        <v>13802.02</v>
      </c>
      <c r="D14" s="21">
        <v>12265.22</v>
      </c>
      <c r="E14" s="21">
        <v>1536.8</v>
      </c>
      <c r="F14" s="21">
        <v>909815.87</v>
      </c>
      <c r="G14" s="50">
        <f t="shared" si="0"/>
        <v>1.689132989073932E-3</v>
      </c>
    </row>
    <row r="15" spans="1:8" x14ac:dyDescent="0.4">
      <c r="A15" s="80">
        <v>44835</v>
      </c>
      <c r="B15">
        <v>50</v>
      </c>
      <c r="C15" s="21">
        <v>13802.02</v>
      </c>
      <c r="D15" s="21">
        <v>12285.66</v>
      </c>
      <c r="E15" s="21">
        <v>1516.36</v>
      </c>
      <c r="F15" s="21">
        <v>897530.21</v>
      </c>
      <c r="G15" s="50">
        <f t="shared" si="0"/>
        <v>1.6894807362528778E-3</v>
      </c>
    </row>
    <row r="16" spans="1:8" x14ac:dyDescent="0.4">
      <c r="A16" s="80">
        <v>44866</v>
      </c>
      <c r="B16">
        <v>51</v>
      </c>
      <c r="C16" s="21">
        <v>13802.02</v>
      </c>
      <c r="D16" s="21">
        <v>12306.14</v>
      </c>
      <c r="E16" s="21">
        <v>1495.88</v>
      </c>
      <c r="F16" s="21">
        <v>885224.07</v>
      </c>
      <c r="G16" s="50">
        <f t="shared" si="0"/>
        <v>1.6898320444449734E-3</v>
      </c>
    </row>
    <row r="17" spans="1:7" x14ac:dyDescent="0.4">
      <c r="A17" s="80">
        <v>44896</v>
      </c>
      <c r="B17">
        <v>52</v>
      </c>
      <c r="C17" s="21">
        <v>13802.02</v>
      </c>
      <c r="D17" s="21">
        <v>12326.65</v>
      </c>
      <c r="E17" s="21">
        <v>1475.37</v>
      </c>
      <c r="F17" s="21">
        <v>872897.42</v>
      </c>
      <c r="G17" s="50">
        <f t="shared" si="0"/>
        <v>1.6901986031760752E-3</v>
      </c>
    </row>
    <row r="18" spans="1:7" x14ac:dyDescent="0.4">
      <c r="A18" s="80">
        <v>44927</v>
      </c>
      <c r="B18">
        <v>53</v>
      </c>
      <c r="C18" s="21">
        <v>13802.02</v>
      </c>
      <c r="D18" s="21">
        <v>12347.19</v>
      </c>
      <c r="E18" s="21">
        <v>1454.83</v>
      </c>
      <c r="F18" s="21">
        <v>860550.23</v>
      </c>
    </row>
    <row r="19" spans="1:7" x14ac:dyDescent="0.4">
      <c r="A19" s="80">
        <v>44958</v>
      </c>
      <c r="B19">
        <v>54</v>
      </c>
      <c r="C19" s="21">
        <v>13802.02</v>
      </c>
      <c r="D19" s="21">
        <v>12367.77</v>
      </c>
      <c r="E19" s="21">
        <v>1434.25</v>
      </c>
      <c r="F19" s="21">
        <v>848182.46</v>
      </c>
    </row>
    <row r="20" spans="1:7" x14ac:dyDescent="0.4">
      <c r="A20" s="80">
        <v>44986</v>
      </c>
      <c r="B20">
        <v>55</v>
      </c>
      <c r="C20" s="21">
        <v>13802.02</v>
      </c>
      <c r="D20" s="21">
        <v>12388.38</v>
      </c>
      <c r="E20" s="21">
        <v>1413.64</v>
      </c>
      <c r="F20" s="21">
        <v>835794.08</v>
      </c>
    </row>
    <row r="21" spans="1:7" x14ac:dyDescent="0.4">
      <c r="A21" s="80">
        <v>45017</v>
      </c>
      <c r="B21">
        <v>56</v>
      </c>
      <c r="C21" s="21">
        <v>13802.02</v>
      </c>
      <c r="D21" s="21">
        <v>12409.03</v>
      </c>
      <c r="E21" s="21">
        <v>1392.99</v>
      </c>
      <c r="F21" s="21">
        <v>823385.05</v>
      </c>
    </row>
    <row r="22" spans="1:7" x14ac:dyDescent="0.4">
      <c r="A22" s="80">
        <v>45047</v>
      </c>
      <c r="B22">
        <v>57</v>
      </c>
      <c r="C22" s="21">
        <v>13802.02</v>
      </c>
      <c r="D22" s="21">
        <v>12429.71</v>
      </c>
      <c r="E22" s="21">
        <v>1372.31</v>
      </c>
      <c r="F22" s="21">
        <v>810955.34</v>
      </c>
    </row>
    <row r="23" spans="1:7" x14ac:dyDescent="0.4">
      <c r="A23" s="80">
        <v>45078</v>
      </c>
      <c r="B23">
        <v>58</v>
      </c>
      <c r="C23" s="21">
        <v>13802.02</v>
      </c>
      <c r="D23" s="21">
        <v>12450.43</v>
      </c>
      <c r="E23" s="21">
        <v>1351.59</v>
      </c>
      <c r="F23" s="21">
        <v>798504.91</v>
      </c>
    </row>
    <row r="24" spans="1:7" x14ac:dyDescent="0.4">
      <c r="A24" s="80">
        <v>45108</v>
      </c>
      <c r="B24">
        <v>59</v>
      </c>
      <c r="C24" s="21">
        <v>13802.02</v>
      </c>
      <c r="D24" s="21">
        <v>12471.18</v>
      </c>
      <c r="E24" s="21">
        <v>1330.84</v>
      </c>
      <c r="F24" s="21">
        <v>786033.73</v>
      </c>
    </row>
    <row r="25" spans="1:7" x14ac:dyDescent="0.4">
      <c r="A25" s="80">
        <v>45139</v>
      </c>
      <c r="B25">
        <v>60</v>
      </c>
      <c r="C25" s="21">
        <v>13802.02</v>
      </c>
      <c r="D25" s="21">
        <v>12491.96</v>
      </c>
      <c r="E25" s="21">
        <v>1310.06</v>
      </c>
      <c r="F25" s="21">
        <v>773541.77</v>
      </c>
    </row>
    <row r="26" spans="1:7" x14ac:dyDescent="0.4">
      <c r="A26" s="80">
        <v>45170</v>
      </c>
      <c r="B26">
        <v>61</v>
      </c>
      <c r="C26" s="21">
        <v>13802.02</v>
      </c>
      <c r="D26" s="21">
        <v>12512.78</v>
      </c>
      <c r="E26" s="21">
        <v>1289.24</v>
      </c>
      <c r="F26" s="21">
        <v>761028.99</v>
      </c>
    </row>
    <row r="27" spans="1:7" x14ac:dyDescent="0.4">
      <c r="A27" s="80">
        <v>45200</v>
      </c>
      <c r="B27">
        <v>62</v>
      </c>
      <c r="C27" s="21">
        <v>13802.02</v>
      </c>
      <c r="D27" s="21">
        <v>12533.64</v>
      </c>
      <c r="E27" s="21">
        <v>1268.3800000000001</v>
      </c>
      <c r="F27" s="21">
        <v>748495.35</v>
      </c>
    </row>
    <row r="28" spans="1:7" x14ac:dyDescent="0.4">
      <c r="A28" s="80">
        <v>45231</v>
      </c>
      <c r="B28">
        <v>63</v>
      </c>
      <c r="C28" s="21">
        <v>13802.02</v>
      </c>
      <c r="D28" s="21">
        <v>12554.53</v>
      </c>
      <c r="E28" s="21">
        <v>1247.49</v>
      </c>
      <c r="F28" s="21">
        <v>735940.82</v>
      </c>
    </row>
    <row r="29" spans="1:7" x14ac:dyDescent="0.4">
      <c r="A29" s="80">
        <v>45261</v>
      </c>
      <c r="B29">
        <v>64</v>
      </c>
      <c r="C29" s="21">
        <v>13802.02</v>
      </c>
      <c r="D29" s="21">
        <v>12575.45</v>
      </c>
      <c r="E29" s="21">
        <v>1226.57</v>
      </c>
      <c r="F29" s="21">
        <v>723365.37</v>
      </c>
    </row>
    <row r="30" spans="1:7" x14ac:dyDescent="0.4">
      <c r="A30" s="80">
        <v>45292</v>
      </c>
      <c r="B30">
        <v>65</v>
      </c>
      <c r="C30" s="21">
        <v>13802.02</v>
      </c>
      <c r="D30" s="21">
        <v>12596.41</v>
      </c>
      <c r="E30" s="21">
        <v>1205.6099999999999</v>
      </c>
      <c r="F30" s="21">
        <v>710768.96</v>
      </c>
    </row>
    <row r="31" spans="1:7" x14ac:dyDescent="0.4">
      <c r="A31" s="80">
        <v>45323</v>
      </c>
      <c r="B31">
        <v>66</v>
      </c>
      <c r="C31" s="21">
        <v>13802.02</v>
      </c>
      <c r="D31" s="21">
        <v>12617.41</v>
      </c>
      <c r="E31" s="21">
        <v>1184.6099999999999</v>
      </c>
      <c r="F31" s="21">
        <v>698151.55</v>
      </c>
    </row>
    <row r="32" spans="1:7" x14ac:dyDescent="0.4">
      <c r="A32" s="80">
        <v>45352</v>
      </c>
      <c r="B32">
        <v>67</v>
      </c>
      <c r="C32" s="21">
        <v>13802.02</v>
      </c>
      <c r="D32" s="21">
        <v>12638.43</v>
      </c>
      <c r="E32" s="21">
        <v>1163.5899999999999</v>
      </c>
      <c r="F32" s="21">
        <v>685513.12</v>
      </c>
    </row>
    <row r="33" spans="1:6" x14ac:dyDescent="0.4">
      <c r="A33" s="80">
        <v>45383</v>
      </c>
      <c r="B33">
        <v>68</v>
      </c>
      <c r="C33" s="21">
        <v>13802.02</v>
      </c>
      <c r="D33" s="21">
        <v>12659.5</v>
      </c>
      <c r="E33" s="21">
        <v>1142.52</v>
      </c>
      <c r="F33" s="21">
        <v>672853.62</v>
      </c>
    </row>
    <row r="34" spans="1:6" x14ac:dyDescent="0.4">
      <c r="A34" s="80">
        <v>45413</v>
      </c>
      <c r="B34">
        <v>69</v>
      </c>
      <c r="C34" s="21">
        <v>13802.02</v>
      </c>
      <c r="D34" s="21">
        <v>12680.6</v>
      </c>
      <c r="E34" s="21">
        <v>1121.42</v>
      </c>
      <c r="F34" s="21">
        <v>660173.02</v>
      </c>
    </row>
    <row r="35" spans="1:6" x14ac:dyDescent="0.4">
      <c r="A35" s="80">
        <v>45444</v>
      </c>
      <c r="B35">
        <v>70</v>
      </c>
      <c r="C35" s="21">
        <v>13802.02</v>
      </c>
      <c r="D35" s="21">
        <v>12701.73</v>
      </c>
      <c r="E35" s="21">
        <v>1100.29</v>
      </c>
      <c r="F35" s="21">
        <v>647471.29</v>
      </c>
    </row>
    <row r="36" spans="1:6" x14ac:dyDescent="0.4">
      <c r="A36" s="80">
        <v>45474</v>
      </c>
      <c r="B36">
        <v>71</v>
      </c>
      <c r="C36" s="21">
        <v>13802.02</v>
      </c>
      <c r="D36" s="21">
        <v>12722.9</v>
      </c>
      <c r="E36" s="21">
        <v>1079.1199999999999</v>
      </c>
      <c r="F36" s="21">
        <v>634748.39</v>
      </c>
    </row>
    <row r="37" spans="1:6" x14ac:dyDescent="0.4">
      <c r="A37" s="80">
        <v>45505</v>
      </c>
      <c r="B37">
        <v>72</v>
      </c>
      <c r="C37" s="21">
        <v>13802.02</v>
      </c>
      <c r="D37" s="21">
        <v>12744.11</v>
      </c>
      <c r="E37" s="21">
        <v>1057.9100000000001</v>
      </c>
      <c r="F37" s="21">
        <v>622004.28</v>
      </c>
    </row>
    <row r="38" spans="1:6" x14ac:dyDescent="0.4">
      <c r="A38" s="80">
        <v>45536</v>
      </c>
      <c r="B38">
        <v>73</v>
      </c>
      <c r="C38" s="21">
        <v>13802.02</v>
      </c>
      <c r="D38" s="21">
        <v>12765.35</v>
      </c>
      <c r="E38" s="21">
        <v>1036.67</v>
      </c>
      <c r="F38" s="21">
        <v>609238.93000000005</v>
      </c>
    </row>
    <row r="39" spans="1:6" x14ac:dyDescent="0.4">
      <c r="A39" s="80">
        <v>45566</v>
      </c>
      <c r="B39">
        <v>74</v>
      </c>
      <c r="C39" s="21">
        <v>13802.02</v>
      </c>
      <c r="D39" s="21">
        <v>12786.62</v>
      </c>
      <c r="E39" s="21">
        <v>1015.4</v>
      </c>
      <c r="F39" s="21">
        <v>596452.31000000006</v>
      </c>
    </row>
    <row r="40" spans="1:6" x14ac:dyDescent="0.4">
      <c r="A40" s="80">
        <v>45597</v>
      </c>
      <c r="B40">
        <v>75</v>
      </c>
      <c r="C40" s="21">
        <v>13802.02</v>
      </c>
      <c r="D40" s="21">
        <v>12807.93</v>
      </c>
      <c r="E40" s="21">
        <v>994.09</v>
      </c>
      <c r="F40" s="21">
        <v>583644.38</v>
      </c>
    </row>
    <row r="41" spans="1:6" x14ac:dyDescent="0.4">
      <c r="A41" s="80">
        <v>45627</v>
      </c>
      <c r="B41">
        <v>76</v>
      </c>
      <c r="C41" s="21">
        <v>13802.02</v>
      </c>
      <c r="D41" s="21">
        <v>12829.28</v>
      </c>
      <c r="E41" s="21">
        <v>972.74</v>
      </c>
      <c r="F41" s="21">
        <v>570815.1</v>
      </c>
    </row>
    <row r="42" spans="1:6" x14ac:dyDescent="0.4">
      <c r="A42" s="80">
        <v>45658</v>
      </c>
      <c r="B42">
        <v>17</v>
      </c>
      <c r="C42" s="21">
        <v>13802.02</v>
      </c>
      <c r="D42" s="21">
        <v>12850.66</v>
      </c>
      <c r="E42" s="21">
        <v>951.36</v>
      </c>
      <c r="F42" s="21">
        <v>557964.43999999994</v>
      </c>
    </row>
    <row r="43" spans="1:6" x14ac:dyDescent="0.4">
      <c r="A43" s="80">
        <v>45689</v>
      </c>
      <c r="B43">
        <v>78</v>
      </c>
      <c r="C43" s="21">
        <v>13802.02</v>
      </c>
      <c r="D43" s="21">
        <v>12872.08</v>
      </c>
      <c r="E43" s="21">
        <v>929.94</v>
      </c>
      <c r="F43" s="21">
        <v>545092.36</v>
      </c>
    </row>
    <row r="44" spans="1:6" x14ac:dyDescent="0.4">
      <c r="A44" s="80">
        <v>45717</v>
      </c>
      <c r="B44">
        <v>79</v>
      </c>
      <c r="C44" s="21">
        <v>13802.02</v>
      </c>
      <c r="D44" s="21">
        <v>12893.53</v>
      </c>
      <c r="E44" s="21">
        <v>908.49</v>
      </c>
      <c r="F44" s="21">
        <v>532198.82999999996</v>
      </c>
    </row>
    <row r="45" spans="1:6" x14ac:dyDescent="0.4">
      <c r="A45" s="80">
        <v>45748</v>
      </c>
      <c r="B45">
        <v>80</v>
      </c>
      <c r="C45" s="21">
        <v>13802.02</v>
      </c>
      <c r="D45" s="21">
        <v>12915.02</v>
      </c>
      <c r="E45" s="21">
        <v>887</v>
      </c>
      <c r="F45" s="21">
        <v>519283.81</v>
      </c>
    </row>
    <row r="46" spans="1:6" x14ac:dyDescent="0.4">
      <c r="A46" s="80">
        <v>45778</v>
      </c>
      <c r="B46">
        <v>81</v>
      </c>
      <c r="C46" s="21">
        <v>13802.02</v>
      </c>
      <c r="D46" s="21">
        <v>12936.55</v>
      </c>
      <c r="E46" s="21">
        <v>865.47</v>
      </c>
      <c r="F46" s="21">
        <v>506347.26</v>
      </c>
    </row>
    <row r="47" spans="1:6" x14ac:dyDescent="0.4">
      <c r="A47" s="80">
        <v>45809</v>
      </c>
      <c r="B47">
        <v>82</v>
      </c>
      <c r="C47" s="21">
        <v>13802.02</v>
      </c>
      <c r="D47" s="21">
        <v>12958.11</v>
      </c>
      <c r="E47" s="21">
        <v>843.91</v>
      </c>
      <c r="F47" s="21">
        <v>493389.15</v>
      </c>
    </row>
    <row r="48" spans="1:6" x14ac:dyDescent="0.4">
      <c r="A48" s="80">
        <v>45839</v>
      </c>
      <c r="B48">
        <v>83</v>
      </c>
      <c r="C48" s="21">
        <v>13802.02</v>
      </c>
      <c r="D48" s="21">
        <v>12979.7</v>
      </c>
      <c r="E48" s="21">
        <v>822.32</v>
      </c>
      <c r="F48" s="21">
        <v>480409.45</v>
      </c>
    </row>
    <row r="49" spans="1:6" x14ac:dyDescent="0.4">
      <c r="A49" s="80">
        <v>45870</v>
      </c>
      <c r="B49">
        <v>84</v>
      </c>
      <c r="C49" s="21">
        <v>13802.02</v>
      </c>
      <c r="D49" s="21">
        <v>13001.34</v>
      </c>
      <c r="E49" s="21">
        <v>800.68</v>
      </c>
      <c r="F49" s="21">
        <v>467408.11</v>
      </c>
    </row>
    <row r="50" spans="1:6" x14ac:dyDescent="0.4">
      <c r="A50" s="80">
        <v>45901</v>
      </c>
      <c r="B50">
        <v>85</v>
      </c>
      <c r="C50" s="21">
        <v>13802.02</v>
      </c>
      <c r="D50" s="21">
        <v>13023.01</v>
      </c>
      <c r="E50" s="21">
        <v>779.01</v>
      </c>
      <c r="F50" s="21">
        <v>454385.1</v>
      </c>
    </row>
    <row r="51" spans="1:6" x14ac:dyDescent="0.4">
      <c r="A51" s="80">
        <v>45931</v>
      </c>
      <c r="B51">
        <v>86</v>
      </c>
      <c r="C51" s="21">
        <v>13802.02</v>
      </c>
      <c r="D51" s="21">
        <v>13044.71</v>
      </c>
      <c r="E51" s="21">
        <v>757.31</v>
      </c>
      <c r="F51" s="21">
        <v>441340.39</v>
      </c>
    </row>
    <row r="52" spans="1:6" x14ac:dyDescent="0.4">
      <c r="A52" s="80">
        <v>45962</v>
      </c>
      <c r="B52">
        <v>87</v>
      </c>
      <c r="C52" s="21">
        <v>13802.02</v>
      </c>
      <c r="D52" s="21">
        <v>13066.45</v>
      </c>
      <c r="E52" s="21">
        <v>735.57</v>
      </c>
      <c r="F52" s="21">
        <v>428273.94</v>
      </c>
    </row>
    <row r="53" spans="1:6" x14ac:dyDescent="0.4">
      <c r="A53" s="80">
        <v>45992</v>
      </c>
      <c r="B53">
        <v>88</v>
      </c>
      <c r="C53" s="21">
        <v>13802.02</v>
      </c>
      <c r="D53" s="21">
        <v>13088.23</v>
      </c>
      <c r="E53" s="21">
        <v>713.79</v>
      </c>
      <c r="F53" s="21">
        <v>415185.71</v>
      </c>
    </row>
    <row r="54" spans="1:6" x14ac:dyDescent="0.4">
      <c r="A54" s="80">
        <v>46023</v>
      </c>
      <c r="B54">
        <v>89</v>
      </c>
      <c r="C54" s="21">
        <v>13802.02</v>
      </c>
      <c r="D54" s="21">
        <v>13110.04</v>
      </c>
      <c r="E54" s="21">
        <v>691.98</v>
      </c>
      <c r="F54" s="21">
        <v>402075.67</v>
      </c>
    </row>
    <row r="55" spans="1:6" x14ac:dyDescent="0.4">
      <c r="A55" s="80">
        <v>46054</v>
      </c>
      <c r="B55">
        <v>90</v>
      </c>
      <c r="C55" s="21">
        <v>13802.02</v>
      </c>
      <c r="D55" s="21">
        <v>13131.89</v>
      </c>
      <c r="E55" s="21">
        <v>670.13</v>
      </c>
      <c r="F55" s="21">
        <v>388943.78</v>
      </c>
    </row>
    <row r="56" spans="1:6" x14ac:dyDescent="0.4">
      <c r="A56" s="80">
        <v>46082</v>
      </c>
      <c r="B56">
        <v>91</v>
      </c>
      <c r="C56" s="21">
        <v>13802.02</v>
      </c>
      <c r="D56" s="21">
        <v>13153.78</v>
      </c>
      <c r="E56" s="21">
        <v>648.24</v>
      </c>
      <c r="F56" s="21">
        <v>375790</v>
      </c>
    </row>
    <row r="57" spans="1:6" x14ac:dyDescent="0.4">
      <c r="A57" s="80">
        <v>46113</v>
      </c>
      <c r="B57">
        <v>92</v>
      </c>
      <c r="C57" s="21">
        <v>13802.02</v>
      </c>
      <c r="D57" s="21">
        <v>13175.7</v>
      </c>
      <c r="E57" s="21">
        <v>626.32000000000005</v>
      </c>
      <c r="F57" s="21">
        <v>362614.3</v>
      </c>
    </row>
    <row r="58" spans="1:6" x14ac:dyDescent="0.4">
      <c r="A58" s="80">
        <v>46143</v>
      </c>
      <c r="B58">
        <v>93</v>
      </c>
      <c r="C58" s="21">
        <v>13802.02</v>
      </c>
      <c r="D58" s="21">
        <v>13197.66</v>
      </c>
      <c r="E58" s="21">
        <v>604.36</v>
      </c>
      <c r="F58" s="21">
        <v>349416.64</v>
      </c>
    </row>
    <row r="59" spans="1:6" x14ac:dyDescent="0.4">
      <c r="A59" s="80">
        <v>46174</v>
      </c>
      <c r="B59">
        <v>94</v>
      </c>
      <c r="C59" s="21">
        <v>13802.02</v>
      </c>
      <c r="D59" s="21">
        <v>13219.66</v>
      </c>
      <c r="E59" s="21">
        <v>582.36</v>
      </c>
      <c r="F59" s="21">
        <v>336196.98</v>
      </c>
    </row>
    <row r="60" spans="1:6" x14ac:dyDescent="0.4">
      <c r="A60" s="80">
        <v>46204</v>
      </c>
      <c r="B60">
        <v>95</v>
      </c>
      <c r="C60" s="21">
        <v>13802.02</v>
      </c>
      <c r="D60" s="21">
        <v>13241.69</v>
      </c>
      <c r="E60" s="21">
        <v>560.33000000000004</v>
      </c>
      <c r="F60" s="21">
        <v>322955.28999999998</v>
      </c>
    </row>
    <row r="61" spans="1:6" x14ac:dyDescent="0.4">
      <c r="A61" s="80">
        <v>46235</v>
      </c>
      <c r="B61">
        <v>96</v>
      </c>
      <c r="C61" s="21">
        <v>13802.02</v>
      </c>
      <c r="D61" s="21">
        <v>13263.76</v>
      </c>
      <c r="E61" s="21">
        <v>538.26</v>
      </c>
      <c r="F61" s="21">
        <v>309691.53000000003</v>
      </c>
    </row>
    <row r="62" spans="1:6" x14ac:dyDescent="0.4">
      <c r="A62" s="80">
        <v>46266</v>
      </c>
      <c r="B62">
        <v>97</v>
      </c>
      <c r="C62" s="21">
        <v>13802.02</v>
      </c>
      <c r="D62" s="21">
        <v>13285.87</v>
      </c>
      <c r="E62" s="21">
        <v>516.15</v>
      </c>
      <c r="F62" s="21">
        <v>296405.65999999997</v>
      </c>
    </row>
    <row r="63" spans="1:6" x14ac:dyDescent="0.4">
      <c r="A63" s="80">
        <v>46296</v>
      </c>
      <c r="B63">
        <v>98</v>
      </c>
      <c r="C63" s="21">
        <v>13802.02</v>
      </c>
      <c r="D63" s="21">
        <v>13308.01</v>
      </c>
      <c r="E63" s="21">
        <v>494.01</v>
      </c>
      <c r="F63" s="21">
        <v>283097.65000000002</v>
      </c>
    </row>
    <row r="64" spans="1:6" x14ac:dyDescent="0.4">
      <c r="A64" s="80">
        <v>46327</v>
      </c>
      <c r="B64">
        <v>99</v>
      </c>
      <c r="C64" s="21">
        <v>13802.02</v>
      </c>
      <c r="D64" s="21">
        <v>13330.19</v>
      </c>
      <c r="E64" s="21">
        <v>471.83</v>
      </c>
      <c r="F64" s="21">
        <v>269767.46000000002</v>
      </c>
    </row>
    <row r="65" spans="1:6" x14ac:dyDescent="0.4">
      <c r="A65" s="80">
        <v>46357</v>
      </c>
      <c r="B65">
        <v>100</v>
      </c>
      <c r="C65" s="21">
        <v>13802.02</v>
      </c>
      <c r="D65" s="21">
        <v>13352.41</v>
      </c>
      <c r="E65" s="21">
        <v>449.61</v>
      </c>
      <c r="F65" s="21">
        <v>256415.05</v>
      </c>
    </row>
    <row r="66" spans="1:6" x14ac:dyDescent="0.4">
      <c r="A66" s="80">
        <v>46388</v>
      </c>
      <c r="B66">
        <v>101</v>
      </c>
      <c r="C66" s="21">
        <v>13802.02</v>
      </c>
      <c r="D66" s="21">
        <v>13374.66</v>
      </c>
      <c r="E66" s="21">
        <v>427.36</v>
      </c>
      <c r="F66" s="21">
        <v>243040.39</v>
      </c>
    </row>
    <row r="67" spans="1:6" x14ac:dyDescent="0.4">
      <c r="A67" s="80">
        <v>46419</v>
      </c>
      <c r="B67">
        <v>102</v>
      </c>
      <c r="C67" s="21">
        <v>13802.02</v>
      </c>
      <c r="D67" s="21">
        <v>13396.95</v>
      </c>
      <c r="E67" s="21">
        <v>405.07</v>
      </c>
      <c r="F67" s="21">
        <v>229643.44</v>
      </c>
    </row>
    <row r="68" spans="1:6" x14ac:dyDescent="0.4">
      <c r="A68" s="80">
        <v>46447</v>
      </c>
      <c r="B68">
        <v>103</v>
      </c>
      <c r="C68" s="21">
        <v>13802.02</v>
      </c>
      <c r="D68" s="21">
        <v>13419.28</v>
      </c>
      <c r="E68" s="21">
        <v>382.74</v>
      </c>
      <c r="F68" s="21">
        <v>216224.16</v>
      </c>
    </row>
    <row r="69" spans="1:6" x14ac:dyDescent="0.4">
      <c r="A69" s="80">
        <v>46478</v>
      </c>
      <c r="B69">
        <v>104</v>
      </c>
      <c r="C69" s="21">
        <v>13802.02</v>
      </c>
      <c r="D69" s="21">
        <v>13441.65</v>
      </c>
      <c r="E69" s="21">
        <v>360.37</v>
      </c>
      <c r="F69" s="21">
        <v>202782.51</v>
      </c>
    </row>
    <row r="70" spans="1:6" x14ac:dyDescent="0.4">
      <c r="A70" s="80">
        <v>46508</v>
      </c>
      <c r="B70">
        <v>105</v>
      </c>
      <c r="C70" s="21">
        <v>13802.02</v>
      </c>
      <c r="D70" s="21">
        <v>13464.05</v>
      </c>
      <c r="E70" s="21">
        <v>337.97</v>
      </c>
      <c r="F70" s="21">
        <v>189318.46</v>
      </c>
    </row>
    <row r="71" spans="1:6" x14ac:dyDescent="0.4">
      <c r="A71" s="80">
        <v>46539</v>
      </c>
      <c r="B71">
        <v>106</v>
      </c>
      <c r="C71" s="21">
        <v>13802.02</v>
      </c>
      <c r="D71" s="21">
        <v>13486.49</v>
      </c>
      <c r="E71" s="21">
        <v>315.52999999999997</v>
      </c>
      <c r="F71" s="21">
        <v>175831.97</v>
      </c>
    </row>
    <row r="72" spans="1:6" x14ac:dyDescent="0.4">
      <c r="A72" s="80">
        <v>46569</v>
      </c>
      <c r="B72">
        <v>107</v>
      </c>
      <c r="C72" s="21">
        <v>13802.02</v>
      </c>
      <c r="D72" s="21">
        <v>13508.97</v>
      </c>
      <c r="E72" s="21">
        <v>293.05</v>
      </c>
      <c r="F72" s="21">
        <v>162323</v>
      </c>
    </row>
    <row r="73" spans="1:6" x14ac:dyDescent="0.4">
      <c r="A73" s="80">
        <v>46600</v>
      </c>
      <c r="B73">
        <v>108</v>
      </c>
      <c r="C73" s="21">
        <v>13802.02</v>
      </c>
      <c r="D73" s="21">
        <v>13531.48</v>
      </c>
      <c r="E73" s="21">
        <v>270.54000000000002</v>
      </c>
      <c r="F73" s="21">
        <v>148791.51999999999</v>
      </c>
    </row>
    <row r="74" spans="1:6" x14ac:dyDescent="0.4">
      <c r="A74" s="80">
        <v>46631</v>
      </c>
      <c r="B74">
        <v>109</v>
      </c>
      <c r="C74" s="21">
        <v>13802.02</v>
      </c>
      <c r="D74" s="21">
        <v>13554.03</v>
      </c>
      <c r="E74" s="21">
        <v>247.99</v>
      </c>
      <c r="F74" s="21">
        <v>135237.49</v>
      </c>
    </row>
    <row r="75" spans="1:6" x14ac:dyDescent="0.4">
      <c r="A75" s="80">
        <v>46661</v>
      </c>
      <c r="B75">
        <v>110</v>
      </c>
      <c r="C75" s="21">
        <v>13802.02</v>
      </c>
      <c r="D75" s="21">
        <v>13576.62</v>
      </c>
      <c r="E75" s="21">
        <v>225.4</v>
      </c>
      <c r="F75" s="21">
        <v>121660.87</v>
      </c>
    </row>
    <row r="76" spans="1:6" x14ac:dyDescent="0.4">
      <c r="A76" s="80">
        <v>46692</v>
      </c>
      <c r="B76">
        <v>111</v>
      </c>
      <c r="C76" s="21">
        <v>13802.02</v>
      </c>
      <c r="D76" s="21">
        <v>13599.25</v>
      </c>
      <c r="E76" s="21">
        <v>202.77</v>
      </c>
      <c r="F76" s="21">
        <v>108061.62</v>
      </c>
    </row>
    <row r="77" spans="1:6" x14ac:dyDescent="0.4">
      <c r="A77" s="80">
        <v>46722</v>
      </c>
      <c r="B77">
        <v>112</v>
      </c>
      <c r="C77" s="21">
        <v>13802.02</v>
      </c>
      <c r="D77" s="21">
        <v>13621.92</v>
      </c>
      <c r="E77" s="21">
        <v>180.1</v>
      </c>
      <c r="F77" s="21">
        <v>94439.7</v>
      </c>
    </row>
    <row r="78" spans="1:6" x14ac:dyDescent="0.4">
      <c r="A78" s="80">
        <v>46753</v>
      </c>
      <c r="B78">
        <v>113</v>
      </c>
      <c r="C78" s="21">
        <v>13802.02</v>
      </c>
      <c r="D78" s="21">
        <v>13644.62</v>
      </c>
      <c r="E78" s="21">
        <v>157.4</v>
      </c>
      <c r="F78" s="21">
        <v>80795.08</v>
      </c>
    </row>
    <row r="79" spans="1:6" x14ac:dyDescent="0.4">
      <c r="A79" s="80">
        <v>46784</v>
      </c>
      <c r="B79">
        <v>114</v>
      </c>
      <c r="C79" s="21">
        <v>13802.02</v>
      </c>
      <c r="D79" s="21">
        <v>13667.36</v>
      </c>
      <c r="E79" s="21">
        <v>134.66</v>
      </c>
      <c r="F79" s="21">
        <v>67127.72</v>
      </c>
    </row>
    <row r="80" spans="1:6" x14ac:dyDescent="0.4">
      <c r="A80" s="80">
        <v>46813</v>
      </c>
      <c r="B80">
        <v>115</v>
      </c>
      <c r="C80" s="21">
        <v>13802.02</v>
      </c>
      <c r="D80" s="21">
        <v>13690.14</v>
      </c>
      <c r="E80" s="21">
        <v>111.88</v>
      </c>
      <c r="F80" s="21">
        <v>53437.58</v>
      </c>
    </row>
    <row r="81" spans="1:6" x14ac:dyDescent="0.4">
      <c r="A81" s="80">
        <v>46844</v>
      </c>
      <c r="B81">
        <v>116</v>
      </c>
      <c r="C81" s="21">
        <v>13802.02</v>
      </c>
      <c r="D81" s="21">
        <v>13712.96</v>
      </c>
      <c r="E81" s="21">
        <v>89.06</v>
      </c>
      <c r="F81" s="21">
        <v>39724.620000000003</v>
      </c>
    </row>
    <row r="82" spans="1:6" x14ac:dyDescent="0.4">
      <c r="A82" s="80">
        <v>46874</v>
      </c>
      <c r="B82">
        <v>117</v>
      </c>
      <c r="C82" s="21">
        <v>13802.02</v>
      </c>
      <c r="D82" s="21">
        <v>13735.81</v>
      </c>
      <c r="E82" s="21">
        <v>66.209999999999994</v>
      </c>
      <c r="F82" s="21">
        <v>25988.81</v>
      </c>
    </row>
    <row r="83" spans="1:6" x14ac:dyDescent="0.4">
      <c r="A83" s="80">
        <v>46905</v>
      </c>
      <c r="B83">
        <v>118</v>
      </c>
      <c r="C83" s="21">
        <v>13802.02</v>
      </c>
      <c r="D83" s="21">
        <v>13758.71</v>
      </c>
      <c r="E83" s="21">
        <v>43.31</v>
      </c>
      <c r="F83" s="21">
        <v>12230.1</v>
      </c>
    </row>
    <row r="84" spans="1:6" x14ac:dyDescent="0.4">
      <c r="A84" s="80">
        <v>46935</v>
      </c>
      <c r="B84">
        <v>119</v>
      </c>
      <c r="C84" s="21">
        <v>12250.48</v>
      </c>
      <c r="D84" s="21">
        <v>12230.1</v>
      </c>
      <c r="E84" s="21">
        <v>20.38</v>
      </c>
      <c r="F84" s="21">
        <v>0</v>
      </c>
    </row>
    <row r="85" spans="1:6" x14ac:dyDescent="0.4">
      <c r="A85" s="80">
        <v>46966</v>
      </c>
      <c r="B85">
        <v>120</v>
      </c>
      <c r="C85" s="21">
        <v>0</v>
      </c>
      <c r="D85" s="21">
        <v>0</v>
      </c>
      <c r="E85" s="21">
        <v>0</v>
      </c>
      <c r="F85" s="21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15EB4-B11D-4C2B-8929-2BE2F469A8BB}">
  <dimension ref="A1:N45"/>
  <sheetViews>
    <sheetView topLeftCell="A31" workbookViewId="0">
      <selection activeCell="H44" sqref="H44"/>
    </sheetView>
  </sheetViews>
  <sheetFormatPr defaultRowHeight="14.6" x14ac:dyDescent="0.4"/>
  <cols>
    <col min="1" max="1" width="9.3828125" bestFit="1" customWidth="1"/>
    <col min="2" max="2" width="11.07421875" style="84" bestFit="1" customWidth="1"/>
    <col min="3" max="3" width="12.07421875" style="21" bestFit="1" customWidth="1"/>
    <col min="4" max="4" width="13.765625" style="21" bestFit="1" customWidth="1"/>
    <col min="5" max="5" width="12.07421875" style="21" bestFit="1" customWidth="1"/>
    <col min="6" max="6" width="17.53515625" style="21" bestFit="1" customWidth="1"/>
    <col min="8" max="8" width="13.61328125" bestFit="1" customWidth="1"/>
    <col min="10" max="12" width="13.61328125" bestFit="1" customWidth="1"/>
  </cols>
  <sheetData>
    <row r="1" spans="1:14" x14ac:dyDescent="0.4">
      <c r="J1" s="99">
        <f>NPV(0.003,J3:J25)</f>
        <v>1412008.5609853822</v>
      </c>
    </row>
    <row r="2" spans="1:14" ht="29.15" x14ac:dyDescent="0.4">
      <c r="A2" s="91" t="s">
        <v>127</v>
      </c>
      <c r="B2" s="84" t="s">
        <v>120</v>
      </c>
      <c r="C2" s="21" t="s">
        <v>116</v>
      </c>
      <c r="D2" s="21" t="s">
        <v>117</v>
      </c>
      <c r="E2" s="21" t="s">
        <v>121</v>
      </c>
      <c r="F2" s="86" t="s">
        <v>122</v>
      </c>
      <c r="H2" s="87" t="s">
        <v>118</v>
      </c>
      <c r="J2" s="22">
        <f>-H8</f>
        <v>-5090000</v>
      </c>
    </row>
    <row r="3" spans="1:14" x14ac:dyDescent="0.4">
      <c r="F3" s="86"/>
      <c r="H3" s="21">
        <v>5745000</v>
      </c>
      <c r="J3" s="22">
        <f>D10</f>
        <v>98525</v>
      </c>
    </row>
    <row r="4" spans="1:14" x14ac:dyDescent="0.4">
      <c r="A4" s="80">
        <v>42767</v>
      </c>
      <c r="B4" s="84">
        <v>0.03</v>
      </c>
      <c r="C4" s="21">
        <v>305000</v>
      </c>
      <c r="D4" s="21">
        <v>109553.89</v>
      </c>
      <c r="E4" s="21">
        <v>414553.89</v>
      </c>
      <c r="J4" s="22">
        <f>D9</f>
        <v>98525</v>
      </c>
    </row>
    <row r="5" spans="1:14" x14ac:dyDescent="0.4">
      <c r="A5" s="80">
        <v>42916</v>
      </c>
      <c r="F5" s="21">
        <v>414553.89</v>
      </c>
      <c r="H5" s="22">
        <f>H3-C4</f>
        <v>5440000</v>
      </c>
      <c r="J5" s="22">
        <f>D10</f>
        <v>98525</v>
      </c>
    </row>
    <row r="6" spans="1:14" x14ac:dyDescent="0.4">
      <c r="A6" s="80">
        <v>42948</v>
      </c>
      <c r="D6" s="21">
        <v>103775</v>
      </c>
      <c r="E6" s="21">
        <v>103775</v>
      </c>
      <c r="J6" s="22">
        <f>D12</f>
        <v>93125</v>
      </c>
    </row>
    <row r="7" spans="1:14" x14ac:dyDescent="0.4">
      <c r="A7" s="80">
        <v>43132</v>
      </c>
      <c r="B7" s="84">
        <v>0.03</v>
      </c>
      <c r="C7" s="21">
        <v>350000</v>
      </c>
      <c r="D7" s="21">
        <v>103775</v>
      </c>
      <c r="E7" s="21">
        <v>453775</v>
      </c>
      <c r="J7" s="22">
        <f>D13</f>
        <v>93125</v>
      </c>
    </row>
    <row r="8" spans="1:14" x14ac:dyDescent="0.4">
      <c r="A8" s="80">
        <v>43281</v>
      </c>
      <c r="F8" s="21">
        <v>557550</v>
      </c>
      <c r="H8" s="22">
        <f>H5-C7</f>
        <v>5090000</v>
      </c>
      <c r="J8" s="22">
        <f>D15</f>
        <v>83750</v>
      </c>
    </row>
    <row r="9" spans="1:14" x14ac:dyDescent="0.4">
      <c r="A9" s="80">
        <v>43313</v>
      </c>
      <c r="D9" s="21">
        <v>98525</v>
      </c>
      <c r="E9" s="21">
        <v>98525</v>
      </c>
      <c r="J9" s="22">
        <f>D16</f>
        <v>83750</v>
      </c>
    </row>
    <row r="10" spans="1:14" x14ac:dyDescent="0.4">
      <c r="A10" s="80">
        <v>43497</v>
      </c>
      <c r="B10" s="84">
        <v>0.03</v>
      </c>
      <c r="C10" s="21">
        <v>360000</v>
      </c>
      <c r="D10" s="21">
        <v>98525</v>
      </c>
      <c r="E10" s="21">
        <v>458525</v>
      </c>
      <c r="J10" s="22">
        <f>D18</f>
        <v>77750</v>
      </c>
      <c r="K10" s="99">
        <f>NPV(0.0025,K12:K25)</f>
        <v>637316.06920512964</v>
      </c>
    </row>
    <row r="11" spans="1:14" x14ac:dyDescent="0.4">
      <c r="A11" s="80">
        <v>43646</v>
      </c>
      <c r="F11" s="21">
        <v>557050</v>
      </c>
      <c r="H11" s="22">
        <f>H8-C10</f>
        <v>4730000</v>
      </c>
      <c r="J11" s="22">
        <f>D19</f>
        <v>77750</v>
      </c>
      <c r="K11" s="22" t="e">
        <f>-#REF!</f>
        <v>#REF!</v>
      </c>
    </row>
    <row r="12" spans="1:14" x14ac:dyDescent="0.4">
      <c r="A12" s="80">
        <v>43678</v>
      </c>
      <c r="D12" s="21">
        <v>93125</v>
      </c>
      <c r="E12" s="21">
        <v>93125</v>
      </c>
      <c r="J12" s="83">
        <v>71600</v>
      </c>
      <c r="K12" s="83">
        <v>71600</v>
      </c>
    </row>
    <row r="13" spans="1:14" x14ac:dyDescent="0.4">
      <c r="A13" s="80">
        <v>43862</v>
      </c>
      <c r="B13" s="84">
        <v>0.03</v>
      </c>
      <c r="C13" s="21">
        <v>625000</v>
      </c>
      <c r="D13" s="21">
        <v>93125</v>
      </c>
      <c r="E13" s="21">
        <v>718125</v>
      </c>
      <c r="J13" s="21">
        <v>71600</v>
      </c>
      <c r="K13" s="21">
        <v>71600</v>
      </c>
      <c r="L13" s="99"/>
    </row>
    <row r="14" spans="1:14" x14ac:dyDescent="0.4">
      <c r="A14" s="80">
        <v>44012</v>
      </c>
      <c r="F14" s="21">
        <f>E13+E12</f>
        <v>811250</v>
      </c>
      <c r="H14" s="22">
        <f>H11-C13</f>
        <v>4105000</v>
      </c>
      <c r="J14" s="21">
        <v>65300</v>
      </c>
      <c r="K14" s="21">
        <v>65300</v>
      </c>
      <c r="L14" s="99">
        <f>NPV(0,L15,L16:L25)</f>
        <v>-1157200</v>
      </c>
      <c r="N14">
        <v>-2065981.9172187774</v>
      </c>
    </row>
    <row r="15" spans="1:14" x14ac:dyDescent="0.4">
      <c r="A15" s="80">
        <v>44044</v>
      </c>
      <c r="D15" s="21">
        <v>83750</v>
      </c>
      <c r="E15" s="21">
        <v>83750</v>
      </c>
      <c r="J15" s="21">
        <v>65300</v>
      </c>
      <c r="K15" s="21">
        <v>65300</v>
      </c>
      <c r="L15" s="22">
        <f>-C44</f>
        <v>-1530000</v>
      </c>
    </row>
    <row r="16" spans="1:14" x14ac:dyDescent="0.4">
      <c r="A16" s="80">
        <v>44228</v>
      </c>
      <c r="B16" s="84">
        <v>0.03</v>
      </c>
      <c r="C16" s="21">
        <v>400000</v>
      </c>
      <c r="D16" s="21">
        <v>83750</v>
      </c>
      <c r="E16" s="21">
        <v>483750</v>
      </c>
      <c r="J16" s="21">
        <v>58775</v>
      </c>
      <c r="K16" s="21">
        <v>58775</v>
      </c>
      <c r="L16" s="21">
        <v>58775</v>
      </c>
    </row>
    <row r="17" spans="1:12" x14ac:dyDescent="0.4">
      <c r="A17" s="80">
        <v>44377</v>
      </c>
      <c r="F17" s="21">
        <v>567500</v>
      </c>
      <c r="H17" s="22">
        <f>H14-C16</f>
        <v>3705000</v>
      </c>
      <c r="J17" s="21">
        <v>58775</v>
      </c>
      <c r="K17" s="21">
        <v>58775</v>
      </c>
      <c r="L17" s="21">
        <v>58775</v>
      </c>
    </row>
    <row r="18" spans="1:12" x14ac:dyDescent="0.4">
      <c r="A18" s="80">
        <v>44409</v>
      </c>
      <c r="B18" s="85"/>
      <c r="C18" s="22"/>
      <c r="D18" s="21">
        <v>77750</v>
      </c>
      <c r="E18" s="21">
        <v>77750</v>
      </c>
      <c r="J18" s="21">
        <v>49875</v>
      </c>
      <c r="K18" s="21">
        <v>49875</v>
      </c>
      <c r="L18" s="21">
        <v>49875</v>
      </c>
    </row>
    <row r="19" spans="1:12" x14ac:dyDescent="0.4">
      <c r="A19" s="80">
        <v>44593</v>
      </c>
      <c r="B19" s="84">
        <v>0.03</v>
      </c>
      <c r="C19" s="21">
        <v>410000</v>
      </c>
      <c r="D19" s="21">
        <v>77750</v>
      </c>
      <c r="E19" s="21">
        <v>487750</v>
      </c>
      <c r="J19" s="21">
        <v>49875</v>
      </c>
      <c r="K19" s="21">
        <v>49875</v>
      </c>
      <c r="L19" s="21">
        <v>49875</v>
      </c>
    </row>
    <row r="20" spans="1:12" x14ac:dyDescent="0.4">
      <c r="A20" s="80">
        <v>44742</v>
      </c>
      <c r="F20" s="21">
        <v>565500</v>
      </c>
      <c r="H20" s="22">
        <f>H17-C19</f>
        <v>3295000</v>
      </c>
      <c r="J20" s="21">
        <v>38250</v>
      </c>
      <c r="K20" s="21">
        <v>38250</v>
      </c>
      <c r="L20" s="21">
        <v>38250</v>
      </c>
    </row>
    <row r="21" spans="1:12" x14ac:dyDescent="0.4">
      <c r="A21" s="109">
        <v>44774</v>
      </c>
      <c r="B21" s="112"/>
      <c r="C21" s="109"/>
      <c r="D21" s="111">
        <v>71600</v>
      </c>
      <c r="E21" s="113">
        <v>71600</v>
      </c>
      <c r="F21" s="111"/>
      <c r="J21" s="21">
        <v>38250</v>
      </c>
      <c r="K21" s="21">
        <v>38250</v>
      </c>
      <c r="L21" s="21">
        <v>38250</v>
      </c>
    </row>
    <row r="22" spans="1:12" x14ac:dyDescent="0.4">
      <c r="A22" s="80">
        <v>44958</v>
      </c>
      <c r="B22" s="84">
        <v>0.03</v>
      </c>
      <c r="C22" s="21">
        <v>420000</v>
      </c>
      <c r="D22" s="21">
        <v>71600</v>
      </c>
      <c r="E22" s="21">
        <v>491600</v>
      </c>
      <c r="J22" s="21">
        <v>26125</v>
      </c>
      <c r="K22" s="21">
        <v>26125</v>
      </c>
      <c r="L22" s="21">
        <v>26125</v>
      </c>
    </row>
    <row r="23" spans="1:12" x14ac:dyDescent="0.4">
      <c r="A23" s="80">
        <v>45107</v>
      </c>
      <c r="F23" s="21">
        <f>E21+E22</f>
        <v>563200</v>
      </c>
      <c r="H23" s="22">
        <f>H20-C22</f>
        <v>2875000</v>
      </c>
      <c r="J23" s="21">
        <v>26125</v>
      </c>
      <c r="K23" s="21">
        <v>26125</v>
      </c>
      <c r="L23" s="21">
        <v>26125</v>
      </c>
    </row>
    <row r="24" spans="1:12" x14ac:dyDescent="0.4">
      <c r="A24" s="80">
        <v>45139</v>
      </c>
      <c r="B24" s="85"/>
      <c r="C24" s="80"/>
      <c r="D24" s="21">
        <v>65300</v>
      </c>
      <c r="E24" s="21">
        <v>65300</v>
      </c>
      <c r="J24" s="21">
        <v>13375</v>
      </c>
      <c r="K24" s="21">
        <v>13375</v>
      </c>
      <c r="L24" s="21">
        <v>13375</v>
      </c>
    </row>
    <row r="25" spans="1:12" x14ac:dyDescent="0.4">
      <c r="A25" s="80">
        <v>45323</v>
      </c>
      <c r="B25" s="84">
        <v>0.03</v>
      </c>
      <c r="C25" s="21">
        <v>435000</v>
      </c>
      <c r="D25" s="21">
        <v>65300</v>
      </c>
      <c r="E25" s="21">
        <v>500300</v>
      </c>
      <c r="J25" s="21">
        <v>13375</v>
      </c>
      <c r="K25" s="21">
        <v>13375</v>
      </c>
      <c r="L25" s="21">
        <v>13375</v>
      </c>
    </row>
    <row r="26" spans="1:12" x14ac:dyDescent="0.4">
      <c r="A26" s="80">
        <v>45473</v>
      </c>
      <c r="F26" s="21">
        <f>E24+E25</f>
        <v>565600</v>
      </c>
      <c r="H26" s="22">
        <f>H23-C25</f>
        <v>2440000</v>
      </c>
      <c r="J26" s="22">
        <f>SUM(J3:J25)</f>
        <v>1451425</v>
      </c>
    </row>
    <row r="27" spans="1:12" x14ac:dyDescent="0.4">
      <c r="A27" s="80">
        <v>45505</v>
      </c>
      <c r="B27" s="85"/>
      <c r="C27" s="80"/>
      <c r="D27" s="21">
        <v>58775</v>
      </c>
      <c r="E27" s="21">
        <v>58775</v>
      </c>
    </row>
    <row r="28" spans="1:12" x14ac:dyDescent="0.4">
      <c r="A28" s="80">
        <v>45689</v>
      </c>
      <c r="B28" s="84">
        <v>0.04</v>
      </c>
      <c r="C28" s="21">
        <v>445000</v>
      </c>
      <c r="D28" s="21">
        <v>58775</v>
      </c>
      <c r="E28" s="21">
        <v>503775</v>
      </c>
    </row>
    <row r="29" spans="1:12" x14ac:dyDescent="0.4">
      <c r="A29" s="80">
        <v>45838</v>
      </c>
      <c r="F29" s="21">
        <f>E27+E28</f>
        <v>562550</v>
      </c>
      <c r="H29" s="22">
        <f>H26-C28</f>
        <v>1995000</v>
      </c>
    </row>
    <row r="30" spans="1:12" x14ac:dyDescent="0.4">
      <c r="A30" s="80">
        <v>45870</v>
      </c>
      <c r="B30" s="85"/>
      <c r="C30" s="80"/>
      <c r="D30" s="21">
        <v>49875</v>
      </c>
      <c r="E30" s="21">
        <v>49875</v>
      </c>
    </row>
    <row r="31" spans="1:12" x14ac:dyDescent="0.4">
      <c r="A31" s="109">
        <v>46054</v>
      </c>
      <c r="B31" s="110">
        <v>0.05</v>
      </c>
      <c r="C31" s="111">
        <v>465000</v>
      </c>
      <c r="D31" s="111">
        <v>49875</v>
      </c>
      <c r="E31" s="111">
        <v>514875</v>
      </c>
    </row>
    <row r="32" spans="1:12" x14ac:dyDescent="0.4">
      <c r="A32" s="114">
        <v>46203</v>
      </c>
      <c r="B32" s="115"/>
      <c r="C32" s="116"/>
      <c r="D32" s="116"/>
      <c r="E32" s="116"/>
      <c r="F32" s="116">
        <f>E30+E31</f>
        <v>564750</v>
      </c>
      <c r="G32" s="117"/>
      <c r="H32" s="118">
        <f>H29-C31</f>
        <v>1530000</v>
      </c>
    </row>
    <row r="33" spans="1:8" x14ac:dyDescent="0.4">
      <c r="A33" s="114">
        <v>46235</v>
      </c>
      <c r="B33" s="119"/>
      <c r="C33" s="114"/>
      <c r="D33" s="116">
        <v>38250</v>
      </c>
      <c r="E33" s="116">
        <v>38250</v>
      </c>
      <c r="F33" s="116"/>
      <c r="G33" s="117"/>
      <c r="H33" s="117"/>
    </row>
    <row r="34" spans="1:8" x14ac:dyDescent="0.4">
      <c r="A34" s="114">
        <v>46419</v>
      </c>
      <c r="B34" s="115">
        <v>0.05</v>
      </c>
      <c r="C34" s="116">
        <v>485000</v>
      </c>
      <c r="D34" s="116">
        <v>38250</v>
      </c>
      <c r="E34" s="116">
        <v>523250</v>
      </c>
      <c r="F34" s="116"/>
      <c r="G34" s="117"/>
      <c r="H34" s="117"/>
    </row>
    <row r="35" spans="1:8" x14ac:dyDescent="0.4">
      <c r="A35" s="114">
        <v>46568</v>
      </c>
      <c r="B35" s="115"/>
      <c r="C35" s="116"/>
      <c r="D35" s="116"/>
      <c r="E35" s="116"/>
      <c r="F35" s="116">
        <f>E33+E34</f>
        <v>561500</v>
      </c>
      <c r="G35" s="117"/>
      <c r="H35" s="118">
        <f>H32-C34</f>
        <v>1045000</v>
      </c>
    </row>
    <row r="36" spans="1:8" x14ac:dyDescent="0.4">
      <c r="A36" s="114">
        <v>46600</v>
      </c>
      <c r="B36" s="119"/>
      <c r="C36" s="114"/>
      <c r="D36" s="116">
        <v>26125</v>
      </c>
      <c r="E36" s="116">
        <v>26125</v>
      </c>
      <c r="F36" s="116"/>
      <c r="G36" s="117"/>
      <c r="H36" s="117"/>
    </row>
    <row r="37" spans="1:8" x14ac:dyDescent="0.4">
      <c r="A37" s="114">
        <v>46784</v>
      </c>
      <c r="B37" s="115">
        <v>0.05</v>
      </c>
      <c r="C37" s="116">
        <v>510000</v>
      </c>
      <c r="D37" s="116">
        <v>26125</v>
      </c>
      <c r="E37" s="116">
        <v>536125</v>
      </c>
      <c r="F37" s="116"/>
      <c r="G37" s="117"/>
      <c r="H37" s="117"/>
    </row>
    <row r="38" spans="1:8" x14ac:dyDescent="0.4">
      <c r="A38" s="114">
        <v>46934</v>
      </c>
      <c r="B38" s="115"/>
      <c r="C38" s="116"/>
      <c r="D38" s="116"/>
      <c r="E38" s="116"/>
      <c r="F38" s="116">
        <f>E36+E37</f>
        <v>562250</v>
      </c>
      <c r="G38" s="117"/>
      <c r="H38" s="118">
        <f>H35-C37</f>
        <v>535000</v>
      </c>
    </row>
    <row r="39" spans="1:8" x14ac:dyDescent="0.4">
      <c r="A39" s="114">
        <v>46966</v>
      </c>
      <c r="B39" s="119"/>
      <c r="C39" s="114"/>
      <c r="D39" s="116">
        <v>13375</v>
      </c>
      <c r="E39" s="116">
        <v>13375</v>
      </c>
      <c r="F39" s="116"/>
      <c r="G39" s="117"/>
      <c r="H39" s="117"/>
    </row>
    <row r="40" spans="1:8" x14ac:dyDescent="0.4">
      <c r="A40" s="114">
        <v>47150</v>
      </c>
      <c r="B40" s="115">
        <v>0.05</v>
      </c>
      <c r="C40" s="116">
        <v>535000</v>
      </c>
      <c r="D40" s="116">
        <v>13375</v>
      </c>
      <c r="E40" s="116">
        <v>548375</v>
      </c>
      <c r="F40" s="116"/>
      <c r="G40" s="117"/>
      <c r="H40" s="117"/>
    </row>
    <row r="41" spans="1:8" x14ac:dyDescent="0.4">
      <c r="A41" s="114">
        <v>47299</v>
      </c>
      <c r="B41" s="115"/>
      <c r="C41" s="116"/>
      <c r="D41" s="116"/>
      <c r="E41" s="116"/>
      <c r="F41" s="116">
        <f>E39+E40</f>
        <v>561750</v>
      </c>
      <c r="G41" s="117"/>
      <c r="H41" s="118">
        <f>H38-C40</f>
        <v>0</v>
      </c>
    </row>
    <row r="42" spans="1:8" ht="15" thickBot="1" x14ac:dyDescent="0.45">
      <c r="A42" s="80"/>
      <c r="H42" s="22"/>
    </row>
    <row r="43" spans="1:8" x14ac:dyDescent="0.4">
      <c r="A43" s="92"/>
      <c r="B43" s="93"/>
      <c r="C43" s="94" t="s">
        <v>128</v>
      </c>
      <c r="D43" s="94" t="s">
        <v>82</v>
      </c>
      <c r="E43" s="98" t="s">
        <v>129</v>
      </c>
      <c r="F43" s="14"/>
    </row>
    <row r="44" spans="1:8" ht="15" thickBot="1" x14ac:dyDescent="0.45">
      <c r="A44" s="95" t="s">
        <v>123</v>
      </c>
      <c r="B44" s="96"/>
      <c r="C44" s="97">
        <f>SUM(C32:C41)</f>
        <v>1530000</v>
      </c>
      <c r="D44" s="97">
        <f>SUM(D32:D41)</f>
        <v>155500</v>
      </c>
      <c r="E44" s="100">
        <f>D44/C44</f>
        <v>0.10163398692810457</v>
      </c>
      <c r="F44" s="14"/>
    </row>
    <row r="45" spans="1:8" x14ac:dyDescent="0.4">
      <c r="F45" s="14"/>
    </row>
  </sheetData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A07FA-939D-4C84-8D46-4B047A38C273}">
  <dimension ref="A2:H17"/>
  <sheetViews>
    <sheetView workbookViewId="0">
      <selection activeCell="H1" sqref="H1:H1048576"/>
    </sheetView>
  </sheetViews>
  <sheetFormatPr defaultRowHeight="14.6" x14ac:dyDescent="0.4"/>
  <cols>
    <col min="1" max="1" width="11.07421875" bestFit="1" customWidth="1"/>
    <col min="4" max="4" width="11" bestFit="1" customWidth="1"/>
    <col min="5" max="5" width="9.53515625" bestFit="1" customWidth="1"/>
    <col min="6" max="6" width="8.53515625" bestFit="1" customWidth="1"/>
    <col min="7" max="7" width="11.15234375" bestFit="1" customWidth="1"/>
    <col min="8" max="8" width="11" bestFit="1" customWidth="1"/>
  </cols>
  <sheetData>
    <row r="2" spans="1:8" x14ac:dyDescent="0.4">
      <c r="C2" s="60"/>
    </row>
    <row r="3" spans="1:8" x14ac:dyDescent="0.4">
      <c r="C3" s="60" t="s">
        <v>124</v>
      </c>
      <c r="D3" t="s">
        <v>118</v>
      </c>
      <c r="E3" t="s">
        <v>125</v>
      </c>
      <c r="F3" t="s">
        <v>117</v>
      </c>
      <c r="G3" t="s">
        <v>121</v>
      </c>
      <c r="H3" t="s">
        <v>118</v>
      </c>
    </row>
    <row r="4" spans="1:8" x14ac:dyDescent="0.4">
      <c r="A4" t="s">
        <v>126</v>
      </c>
      <c r="B4" s="88">
        <v>25</v>
      </c>
      <c r="C4" s="89">
        <v>2014</v>
      </c>
      <c r="D4" s="21">
        <v>2100000</v>
      </c>
      <c r="E4" s="21"/>
      <c r="F4" s="21"/>
    </row>
    <row r="5" spans="1:8" x14ac:dyDescent="0.4">
      <c r="A5" t="s">
        <v>126</v>
      </c>
      <c r="B5" s="90">
        <v>27</v>
      </c>
      <c r="C5" s="89">
        <v>2015</v>
      </c>
      <c r="D5" s="21">
        <v>1890000</v>
      </c>
      <c r="E5" s="21">
        <v>210000</v>
      </c>
      <c r="F5" s="21">
        <v>68250</v>
      </c>
      <c r="G5" s="21">
        <f>E5+F5</f>
        <v>278250</v>
      </c>
      <c r="H5" s="22">
        <f>D4-E5</f>
        <v>1890000</v>
      </c>
    </row>
    <row r="6" spans="1:8" x14ac:dyDescent="0.4">
      <c r="A6" t="s">
        <v>126</v>
      </c>
      <c r="B6" s="90">
        <v>25</v>
      </c>
      <c r="C6" s="60">
        <v>2016</v>
      </c>
      <c r="D6" s="21">
        <v>1680000</v>
      </c>
      <c r="E6" s="21">
        <v>210000</v>
      </c>
      <c r="F6" s="21">
        <v>61425</v>
      </c>
      <c r="G6" s="21">
        <f t="shared" ref="G6:G14" si="0">E6+F6</f>
        <v>271425</v>
      </c>
      <c r="H6" s="22">
        <f t="shared" ref="H6:H14" si="1">D5-E6</f>
        <v>1680000</v>
      </c>
    </row>
    <row r="7" spans="1:8" x14ac:dyDescent="0.4">
      <c r="A7" t="s">
        <v>126</v>
      </c>
      <c r="B7" s="90">
        <v>25</v>
      </c>
      <c r="C7" s="60">
        <v>2017</v>
      </c>
      <c r="D7" s="21">
        <v>1470000</v>
      </c>
      <c r="E7" s="21">
        <v>210000</v>
      </c>
      <c r="F7" s="21">
        <v>54600</v>
      </c>
      <c r="G7" s="21">
        <f t="shared" si="0"/>
        <v>264600</v>
      </c>
      <c r="H7" s="22">
        <f t="shared" si="1"/>
        <v>1470000</v>
      </c>
    </row>
    <row r="8" spans="1:8" x14ac:dyDescent="0.4">
      <c r="A8" t="s">
        <v>126</v>
      </c>
      <c r="B8" s="90">
        <v>25</v>
      </c>
      <c r="C8" s="60">
        <v>2018</v>
      </c>
      <c r="D8" s="21">
        <v>1260000</v>
      </c>
      <c r="E8" s="21">
        <v>210000</v>
      </c>
      <c r="F8" s="21">
        <v>47775</v>
      </c>
      <c r="G8" s="21">
        <f t="shared" si="0"/>
        <v>257775</v>
      </c>
      <c r="H8" s="22">
        <f t="shared" si="1"/>
        <v>1260000</v>
      </c>
    </row>
    <row r="9" spans="1:8" x14ac:dyDescent="0.4">
      <c r="A9" t="s">
        <v>126</v>
      </c>
      <c r="B9" s="90">
        <v>25</v>
      </c>
      <c r="C9" s="60">
        <v>2019</v>
      </c>
      <c r="D9" s="21">
        <v>1050000</v>
      </c>
      <c r="E9" s="21">
        <v>210000</v>
      </c>
      <c r="F9" s="21">
        <v>40950</v>
      </c>
      <c r="G9" s="21">
        <f t="shared" si="0"/>
        <v>250950</v>
      </c>
      <c r="H9" s="22">
        <f t="shared" si="1"/>
        <v>1050000</v>
      </c>
    </row>
    <row r="10" spans="1:8" x14ac:dyDescent="0.4">
      <c r="A10" t="s">
        <v>126</v>
      </c>
      <c r="B10" s="90">
        <v>27</v>
      </c>
      <c r="C10" s="60">
        <v>2020</v>
      </c>
      <c r="D10" s="21">
        <v>840000</v>
      </c>
      <c r="E10" s="21">
        <v>210000</v>
      </c>
      <c r="F10" s="21">
        <v>34125</v>
      </c>
      <c r="G10" s="21">
        <f t="shared" si="0"/>
        <v>244125</v>
      </c>
      <c r="H10" s="22">
        <f t="shared" si="1"/>
        <v>840000</v>
      </c>
    </row>
    <row r="11" spans="1:8" x14ac:dyDescent="0.4">
      <c r="A11" t="s">
        <v>126</v>
      </c>
      <c r="B11" s="90">
        <v>26</v>
      </c>
      <c r="C11" s="60">
        <v>2021</v>
      </c>
      <c r="D11" s="21">
        <v>630000</v>
      </c>
      <c r="E11" s="21">
        <v>210000</v>
      </c>
      <c r="F11" s="21">
        <v>27300</v>
      </c>
      <c r="G11" s="21">
        <f t="shared" si="0"/>
        <v>237300</v>
      </c>
      <c r="H11" s="22">
        <f t="shared" si="1"/>
        <v>630000</v>
      </c>
    </row>
    <row r="12" spans="1:8" x14ac:dyDescent="0.4">
      <c r="A12" t="s">
        <v>126</v>
      </c>
      <c r="B12" s="90">
        <v>25</v>
      </c>
      <c r="C12" s="60">
        <v>2022</v>
      </c>
      <c r="D12" s="21">
        <v>420000</v>
      </c>
      <c r="E12" s="21">
        <v>210000</v>
      </c>
      <c r="F12" s="21">
        <v>20475</v>
      </c>
      <c r="G12" s="21">
        <f t="shared" si="0"/>
        <v>230475</v>
      </c>
      <c r="H12" s="22">
        <f t="shared" si="1"/>
        <v>420000</v>
      </c>
    </row>
    <row r="13" spans="1:8" x14ac:dyDescent="0.4">
      <c r="A13" t="s">
        <v>126</v>
      </c>
      <c r="B13" s="90">
        <v>25</v>
      </c>
      <c r="C13" s="60">
        <v>2023</v>
      </c>
      <c r="D13" s="21">
        <v>210000</v>
      </c>
      <c r="E13" s="83">
        <v>210000</v>
      </c>
      <c r="F13" s="83">
        <v>13650</v>
      </c>
      <c r="G13" s="21">
        <f t="shared" si="0"/>
        <v>223650</v>
      </c>
      <c r="H13" s="22">
        <f t="shared" si="1"/>
        <v>210000</v>
      </c>
    </row>
    <row r="14" spans="1:8" x14ac:dyDescent="0.4">
      <c r="A14" t="s">
        <v>126</v>
      </c>
      <c r="B14" s="90">
        <v>25</v>
      </c>
      <c r="C14" s="60">
        <v>2024</v>
      </c>
      <c r="D14" s="21">
        <v>0</v>
      </c>
      <c r="E14" s="83">
        <v>210000</v>
      </c>
      <c r="F14" s="83">
        <v>6825</v>
      </c>
      <c r="G14" s="21">
        <f t="shared" si="0"/>
        <v>216825</v>
      </c>
      <c r="H14" s="22">
        <f t="shared" si="1"/>
        <v>0</v>
      </c>
    </row>
    <row r="15" spans="1:8" x14ac:dyDescent="0.4">
      <c r="C15" s="60"/>
    </row>
    <row r="16" spans="1:8" x14ac:dyDescent="0.4">
      <c r="C16" s="60"/>
      <c r="E16" s="22">
        <f>E13+E14</f>
        <v>420000</v>
      </c>
      <c r="F16" s="22">
        <f>F13+F14</f>
        <v>20475</v>
      </c>
    </row>
    <row r="17" spans="3:3" x14ac:dyDescent="0.4">
      <c r="C17" s="6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11396-A3C7-4446-BBE4-415B3DA1B2D6}">
  <dimension ref="A1:P20"/>
  <sheetViews>
    <sheetView workbookViewId="0">
      <selection activeCell="E11" sqref="E11"/>
    </sheetView>
  </sheetViews>
  <sheetFormatPr defaultRowHeight="14.6" x14ac:dyDescent="0.4"/>
  <cols>
    <col min="1" max="1" width="24.07421875" bestFit="1" customWidth="1"/>
    <col min="2" max="2" width="14.3828125" customWidth="1"/>
    <col min="3" max="3" width="13.61328125" bestFit="1" customWidth="1"/>
    <col min="4" max="4" width="12.4609375" bestFit="1" customWidth="1"/>
  </cols>
  <sheetData>
    <row r="1" spans="1:5" x14ac:dyDescent="0.4">
      <c r="A1" t="s">
        <v>130</v>
      </c>
    </row>
    <row r="2" spans="1:5" x14ac:dyDescent="0.4">
      <c r="B2" s="60" t="s">
        <v>141</v>
      </c>
      <c r="C2" s="60" t="s">
        <v>132</v>
      </c>
      <c r="D2" s="60" t="s">
        <v>82</v>
      </c>
    </row>
    <row r="3" spans="1:5" x14ac:dyDescent="0.4">
      <c r="A3" t="s">
        <v>142</v>
      </c>
      <c r="B3" s="60" t="s">
        <v>138</v>
      </c>
      <c r="C3" s="21">
        <f>Refinancing!C44</f>
        <v>1530000</v>
      </c>
      <c r="D3" s="21">
        <f>Refinancing!D44</f>
        <v>155500</v>
      </c>
      <c r="E3" s="101">
        <f>D3/C3</f>
        <v>0.10163398692810457</v>
      </c>
    </row>
    <row r="4" spans="1:5" x14ac:dyDescent="0.4">
      <c r="A4" t="s">
        <v>83</v>
      </c>
      <c r="B4" s="106">
        <v>0.02</v>
      </c>
      <c r="C4" s="21">
        <f>'HELP II schedule'!D2</f>
        <v>946550.34000000008</v>
      </c>
      <c r="D4" s="21">
        <f>'HELP II schedule'!E2</f>
        <v>59445.580000000016</v>
      </c>
      <c r="E4" s="101">
        <f>D4/C4</f>
        <v>6.2802343930276339E-2</v>
      </c>
    </row>
    <row r="5" spans="1:5" x14ac:dyDescent="0.4">
      <c r="A5" t="s">
        <v>131</v>
      </c>
      <c r="B5" s="107">
        <v>3.2500000000000001E-2</v>
      </c>
      <c r="C5" s="21">
        <f>'United Health'!E16</f>
        <v>420000</v>
      </c>
      <c r="D5" s="21">
        <f>'United Health'!F16</f>
        <v>20475</v>
      </c>
      <c r="E5" s="101">
        <f>D5/C5</f>
        <v>4.8750000000000002E-2</v>
      </c>
    </row>
    <row r="6" spans="1:5" x14ac:dyDescent="0.4">
      <c r="C6" s="102">
        <f>SUM(C3:C5)</f>
        <v>2896550.34</v>
      </c>
      <c r="D6" s="102">
        <f>SUM(D3:D5)</f>
        <v>235420.58000000002</v>
      </c>
    </row>
    <row r="7" spans="1:5" x14ac:dyDescent="0.4">
      <c r="A7" t="s">
        <v>139</v>
      </c>
      <c r="D7" s="101">
        <f>D6/C6</f>
        <v>8.1276191457456265E-2</v>
      </c>
    </row>
    <row r="19" spans="8:16" x14ac:dyDescent="0.4">
      <c r="P19" s="108" t="s">
        <v>140</v>
      </c>
    </row>
    <row r="20" spans="8:16" x14ac:dyDescent="0.4">
      <c r="H20" s="108" t="s">
        <v>140</v>
      </c>
    </row>
  </sheetData>
  <hyperlinks>
    <hyperlink ref="H20" r:id="rId1" xr:uid="{5F209215-0FED-440E-A09E-05F88948F814}"/>
    <hyperlink ref="P19" r:id="rId2" xr:uid="{F8439D7A-D4AE-41F0-87AF-C8045C28FCB6}"/>
  </hyperlinks>
  <pageMargins left="0.7" right="0.7" top="0.75" bottom="0.75" header="0.3" footer="0.3"/>
  <pageSetup orientation="portrait" horizontalDpi="0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District Budget FY23</vt:lpstr>
      <vt:lpstr>Board Budget FY23</vt:lpstr>
      <vt:lpstr>Changes</vt:lpstr>
      <vt:lpstr>Balance Sheet</vt:lpstr>
      <vt:lpstr>HELP II schedule</vt:lpstr>
      <vt:lpstr>Refinancing</vt:lpstr>
      <vt:lpstr>United Health</vt:lpstr>
      <vt:lpstr>Interest saved</vt:lpstr>
      <vt:lpstr>'Board Budget FY23'!Print_Area</vt:lpstr>
      <vt:lpstr>'District Budget FY23'!Print_Area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Redding</dc:creator>
  <cp:lastModifiedBy>John Redding</cp:lastModifiedBy>
  <cp:lastPrinted>2022-04-19T16:02:19Z</cp:lastPrinted>
  <dcterms:created xsi:type="dcterms:W3CDTF">2022-04-13T21:13:43Z</dcterms:created>
  <dcterms:modified xsi:type="dcterms:W3CDTF">2022-06-26T19:06:02Z</dcterms:modified>
</cp:coreProperties>
</file>